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InkAnnotation="0" autoCompressPictures="0"/>
  <mc:AlternateContent xmlns:mc="http://schemas.openxmlformats.org/markup-compatibility/2006">
    <mc:Choice Requires="x15">
      <x15ac:absPath xmlns:x15ac="http://schemas.microsoft.com/office/spreadsheetml/2010/11/ac" url="/Users/tove/Documents/Kurser/Skoleårets planlægning/2025-2026/Værktøj/TAP/"/>
    </mc:Choice>
  </mc:AlternateContent>
  <xr:revisionPtr revIDLastSave="0" documentId="8_{ADF844E2-4BE5-4041-82D0-E4112F17DF8E}" xr6:coauthVersionLast="47" xr6:coauthVersionMax="47" xr10:uidLastSave="{00000000-0000-0000-0000-000000000000}"/>
  <bookViews>
    <workbookView xWindow="0" yWindow="500" windowWidth="27980" windowHeight="17500" tabRatio="500" firstSheet="3" activeTab="5" xr2:uid="{00000000-000D-0000-FFFF-FFFF00000000}"/>
  </bookViews>
  <sheets>
    <sheet name="Vejledning" sheetId="21" r:id="rId1"/>
    <sheet name="Vejledning PDF" sheetId="79" r:id="rId2"/>
    <sheet name="Ændringer i forhold til 24-25" sheetId="102" r:id="rId3"/>
    <sheet name="Opgørelse af normperioden" sheetId="101" r:id="rId4"/>
    <sheet name="Gode råd til check" sheetId="100" r:id="rId5"/>
    <sheet name="Stamoplysninger" sheetId="62" r:id="rId6"/>
    <sheet name="Normal uger" sheetId="43" r:id="rId7"/>
    <sheet name="Rul" sheetId="82" r:id="rId8"/>
    <sheet name="August" sheetId="41" r:id="rId9"/>
    <sheet name="September" sheetId="83" r:id="rId10"/>
    <sheet name="Oktober" sheetId="84" r:id="rId11"/>
    <sheet name="November" sheetId="85" r:id="rId12"/>
    <sheet name="December" sheetId="86" r:id="rId13"/>
    <sheet name="Januar" sheetId="87" r:id="rId14"/>
    <sheet name="Februar" sheetId="88" r:id="rId15"/>
    <sheet name="Marts" sheetId="89" r:id="rId16"/>
    <sheet name="April" sheetId="90" r:id="rId17"/>
    <sheet name="Maj" sheetId="91" r:id="rId18"/>
    <sheet name="Juni" sheetId="92" r:id="rId19"/>
    <sheet name="Juli" sheetId="93" r:id="rId20"/>
    <sheet name="Arbejdstidsoversigt" sheetId="1" r:id="rId21"/>
    <sheet name="Opgørelse" sheetId="50" r:id="rId22"/>
    <sheet name="Aar" sheetId="23" r:id="rId23"/>
    <sheet name="Vejledning til arb.tidsoversigt" sheetId="20" state="hidden" r:id="rId24"/>
    <sheet name="Opgaveoversigt" sheetId="2" state="hidden" r:id="rId25"/>
    <sheet name="Aften-weekendtillæg" sheetId="5" state="hidden" r:id="rId26"/>
    <sheet name="1.halvaar" sheetId="24" r:id="rId27"/>
    <sheet name="2.halvaar" sheetId="25" r:id="rId28"/>
    <sheet name="Normal uge 1 til print" sheetId="46" r:id="rId29"/>
    <sheet name="Normal uge 2 til print" sheetId="47" r:id="rId30"/>
    <sheet name="Normal uger 3 til print" sheetId="49" r:id="rId31"/>
    <sheet name="Normal uger 4 til print" sheetId="48" r:id="rId32"/>
    <sheet name="Normal uger 5 til print" sheetId="95" r:id="rId33"/>
    <sheet name="Normal uger 6 til print" sheetId="96" r:id="rId34"/>
    <sheet name="Rul til print" sheetId="94" r:id="rId35"/>
    <sheet name="TOMT ÅR" sheetId="103" r:id="rId36"/>
    <sheet name="TOMT 1. HALVÅR" sheetId="104" r:id="rId37"/>
    <sheet name="TOMT 2. HALVÅR" sheetId="105" r:id="rId38"/>
  </sheets>
  <definedNames>
    <definedName name="April">#REF!</definedName>
    <definedName name="April1">April!$C$15:$C$44</definedName>
    <definedName name="AUG" localSheetId="16">April!$D$15:$D$44</definedName>
    <definedName name="AUG" localSheetId="12">December!$D$15:$D$45</definedName>
    <definedName name="AUG" localSheetId="14">Februar!$D$15:$D$43</definedName>
    <definedName name="AUG" localSheetId="13">Januar!$D$15:$D$45</definedName>
    <definedName name="AUG" localSheetId="19">Juli!$D$15:$D$45</definedName>
    <definedName name="AUG" localSheetId="18">Juni!$D$15:$D$44</definedName>
    <definedName name="AUG" localSheetId="17">Maj!$D$15:$D$45</definedName>
    <definedName name="AUG" localSheetId="15">Marts!$D$15:$D$45</definedName>
    <definedName name="AUG" localSheetId="11">November!$D$15:$D$44</definedName>
    <definedName name="AUG" localSheetId="10">Oktober!$D$15:$D$45</definedName>
    <definedName name="AUG" localSheetId="9">September!$D$15:$D$44</definedName>
    <definedName name="AUG">August!$D$20:$D$50</definedName>
    <definedName name="august" localSheetId="16">April!$D$15:$D$44</definedName>
    <definedName name="august" localSheetId="8">August!$D$20:$D$50</definedName>
    <definedName name="august" localSheetId="12">December!$D$15:$D$45</definedName>
    <definedName name="august" localSheetId="14">Februar!$D$15:$D$43</definedName>
    <definedName name="august" localSheetId="13">Januar!$D$15:$D$45</definedName>
    <definedName name="august" localSheetId="19">Juli!$D$15:$D$45</definedName>
    <definedName name="august" localSheetId="18">Juni!$D$15:$D$44</definedName>
    <definedName name="august" localSheetId="17">Maj!$D$15:$D$45</definedName>
    <definedName name="august" localSheetId="15">Marts!$D$15:$D$45</definedName>
    <definedName name="august" localSheetId="11">November!$D$15:$D$44</definedName>
    <definedName name="august" localSheetId="10">Oktober!$D$15:$D$45</definedName>
    <definedName name="august" localSheetId="9">September!$D$15:$D$44</definedName>
    <definedName name="AUGUST">August!$C$20:$C$50</definedName>
    <definedName name="dagapr">#REF!</definedName>
    <definedName name="dagaug">#REF!</definedName>
    <definedName name="dagdec">#REF!</definedName>
    <definedName name="dagfeb">#REF!</definedName>
    <definedName name="dagjan">#REF!</definedName>
    <definedName name="dagjul">#REF!</definedName>
    <definedName name="dagjun">#REF!</definedName>
    <definedName name="dagmaj">#REF!</definedName>
    <definedName name="dagmar">#REF!</definedName>
    <definedName name="dagnov">#REF!</definedName>
    <definedName name="dagokt">#REF!</definedName>
    <definedName name="dagsep">#REF!</definedName>
    <definedName name="December">#REF!</definedName>
    <definedName name="December1">December!$C$15:$C$45</definedName>
    <definedName name="Februar">#REF!</definedName>
    <definedName name="Februar1">Februar!$C$15:$C$43</definedName>
    <definedName name="fridageGrå" localSheetId="35">'TOMT ÅR'!fridageGrå</definedName>
    <definedName name="fridageGrå" localSheetId="22">Aar!fridageGrå</definedName>
    <definedName name="fridageGrå">[0]!fridageGrå</definedName>
    <definedName name="Januar">#REF!</definedName>
    <definedName name="Januar1">Januar!$C$15:$C$45</definedName>
    <definedName name="Juli">#REF!</definedName>
    <definedName name="Juli1">Juli!$C$15:$C$45</definedName>
    <definedName name="Juni">#REF!</definedName>
    <definedName name="Juni1">Juni!$C$15:$C$44</definedName>
    <definedName name="Maj">#REF!</definedName>
    <definedName name="Majmåned">Maj!$C$15:$C$45</definedName>
    <definedName name="Marts">#REF!</definedName>
    <definedName name="Marts1">Marts!$C$15:$C$45</definedName>
    <definedName name="November">#REF!</definedName>
    <definedName name="November1">November!$C$15:$C$44</definedName>
    <definedName name="Oktober">#REF!</definedName>
    <definedName name="Oktober1">Oktober!$C$15:$C$45</definedName>
    <definedName name="SEPTEMBER">#REF!</definedName>
    <definedName name="September1" localSheetId="16">April!$C$15:$C$44</definedName>
    <definedName name="September1" localSheetId="14">Februar!$C$15:$C$43</definedName>
    <definedName name="September1" localSheetId="18">Juni!$C$15:$C$44</definedName>
    <definedName name="September1" localSheetId="11">November!$C$15:$C$44</definedName>
    <definedName name="September1">September!$C$15:$C$44</definedName>
    <definedName name="Skema_1">#REF!</definedName>
    <definedName name="skolenavn">#REF!</definedName>
    <definedName name="_xlnm.Print_Area" localSheetId="26">'1.halvaar'!$A$1:$AD$36</definedName>
    <definedName name="_xlnm.Print_Area" localSheetId="27">'2.halvaar'!$A$1:$AD$35</definedName>
    <definedName name="_xlnm.Print_Area" localSheetId="16">April!$A$11:$U$45</definedName>
    <definedName name="_xlnm.Print_Area" localSheetId="20">Arbejdstidsoversigt!$A$12:$J$98</definedName>
    <definedName name="_xlnm.Print_Area" localSheetId="8">August!$A$16:$U$51</definedName>
    <definedName name="_xlnm.Print_Area" localSheetId="12">December!$A$11:$U$46</definedName>
    <definedName name="_xlnm.Print_Area" localSheetId="14">Februar!$A$11:$U$44</definedName>
    <definedName name="_xlnm.Print_Area" localSheetId="13">Januar!$A$11:$U$46</definedName>
    <definedName name="_xlnm.Print_Area" localSheetId="19">Juli!$A$11:$U$46</definedName>
    <definedName name="_xlnm.Print_Area" localSheetId="18">Juni!$A$11:$U$45</definedName>
    <definedName name="_xlnm.Print_Area" localSheetId="17">Maj!$A$11:$U$46</definedName>
    <definedName name="_xlnm.Print_Area" localSheetId="15">Marts!$A$11:$U$46</definedName>
    <definedName name="_xlnm.Print_Area" localSheetId="29">'Normal uge 2 til print'!$A$1:$G$31</definedName>
    <definedName name="_xlnm.Print_Area" localSheetId="6">'Normal uger'!$A$8:$CE$98</definedName>
    <definedName name="_xlnm.Print_Area" localSheetId="11">November!$A$11:$U$45</definedName>
    <definedName name="_xlnm.Print_Area" localSheetId="10">Oktober!$A$11:$U$46</definedName>
    <definedName name="_xlnm.Print_Area" localSheetId="21">Opgørelse!$A$6:$E$63</definedName>
    <definedName name="_xlnm.Print_Area" localSheetId="7">Rul!$A$8:$O$39</definedName>
    <definedName name="_xlnm.Print_Area" localSheetId="9">September!$A$11:$U$45</definedName>
    <definedName name="_xlnm.Print_Area" localSheetId="5">Stamoplysninger!$A$11:$H$22</definedName>
    <definedName name="_xlnm.Print_Area" localSheetId="37">'TOMT 2. HALVÅR'!$A$1:$X$33</definedName>
    <definedName name="_xlnm.Print_Area" localSheetId="0">Vejledning!$B$1:$B$73</definedName>
    <definedName name="_xlnm.Print_Area" localSheetId="22">Aar!$A$1:$AV$48</definedName>
    <definedName name="Ugenr" localSheetId="35">'TOMT ÅR'!Ugenr</definedName>
    <definedName name="Ugenr">[0]!Ugenr</definedName>
    <definedName name="Årstal" localSheetId="22">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65" i="88" l="1"/>
  <c r="J65" i="88" s="1"/>
  <c r="H64" i="88"/>
  <c r="J64" i="88" s="1"/>
  <c r="J64" i="92"/>
  <c r="H64" i="92"/>
  <c r="H63" i="92"/>
  <c r="J63" i="92" s="1"/>
  <c r="H63" i="90"/>
  <c r="J63" i="90" s="1"/>
  <c r="H62" i="90"/>
  <c r="J62" i="90" s="1"/>
  <c r="H64" i="93"/>
  <c r="J64" i="93" s="1"/>
  <c r="J63" i="93"/>
  <c r="H63" i="93"/>
  <c r="J64" i="91"/>
  <c r="H64" i="91"/>
  <c r="H63" i="91"/>
  <c r="J63" i="91" s="1"/>
  <c r="H64" i="89"/>
  <c r="J64" i="89" s="1"/>
  <c r="H63" i="89"/>
  <c r="J63" i="89" s="1"/>
  <c r="H64" i="87"/>
  <c r="J64" i="87" s="1"/>
  <c r="H63" i="87"/>
  <c r="J63" i="87" s="1"/>
  <c r="J64" i="86"/>
  <c r="H64" i="86"/>
  <c r="J63" i="86"/>
  <c r="H63" i="86"/>
  <c r="J64" i="85"/>
  <c r="H64" i="85"/>
  <c r="H63" i="85"/>
  <c r="J63" i="85" s="1"/>
  <c r="H64" i="84"/>
  <c r="J64" i="84" s="1"/>
  <c r="H63" i="84"/>
  <c r="J63" i="84"/>
  <c r="H63" i="83"/>
  <c r="J63" i="83" s="1"/>
  <c r="H64" i="83"/>
  <c r="J64" i="83" s="1"/>
  <c r="H68" i="41"/>
  <c r="J68" i="41" s="1"/>
  <c r="H67" i="41"/>
  <c r="J67" i="41" s="1"/>
  <c r="AO42" i="43"/>
  <c r="AM42" i="43"/>
  <c r="AU42" i="43"/>
  <c r="AU48" i="43" s="1"/>
  <c r="BX42" i="43" l="1"/>
  <c r="BX48" i="43" s="1"/>
  <c r="BX49" i="43" s="1"/>
  <c r="BY42" i="43"/>
  <c r="BY48" i="43" s="1"/>
  <c r="BY49" i="43" s="1"/>
  <c r="BZ42" i="43"/>
  <c r="BZ48" i="43" s="1"/>
  <c r="BZ49" i="43" s="1"/>
  <c r="CA42" i="43"/>
  <c r="CA48" i="43" s="1"/>
  <c r="CA49" i="43" s="1"/>
  <c r="CB42" i="43"/>
  <c r="CB48" i="43" s="1"/>
  <c r="CB49" i="43" s="1"/>
  <c r="CC42" i="43"/>
  <c r="CC48" i="43" s="1"/>
  <c r="CC49" i="43" s="1"/>
  <c r="CD42" i="43"/>
  <c r="CD48" i="43" s="1"/>
  <c r="CD49" i="43" s="1"/>
  <c r="CE42" i="43"/>
  <c r="CE48" i="43" s="1"/>
  <c r="CE49" i="43" s="1"/>
  <c r="BX43" i="43"/>
  <c r="BX51" i="43" s="1"/>
  <c r="BX52" i="43" s="1"/>
  <c r="BY43" i="43"/>
  <c r="BY51" i="43" s="1"/>
  <c r="BY52" i="43" s="1"/>
  <c r="BZ43" i="43"/>
  <c r="BZ51" i="43" s="1"/>
  <c r="BZ52" i="43" s="1"/>
  <c r="CA43" i="43"/>
  <c r="CA51" i="43" s="1"/>
  <c r="CA52" i="43" s="1"/>
  <c r="CB43" i="43"/>
  <c r="CB51" i="43" s="1"/>
  <c r="CB52" i="43" s="1"/>
  <c r="CC43" i="43"/>
  <c r="CC51" i="43" s="1"/>
  <c r="CC52" i="43" s="1"/>
  <c r="CD43" i="43"/>
  <c r="CD51" i="43" s="1"/>
  <c r="CD52" i="43" s="1"/>
  <c r="CE43" i="43"/>
  <c r="CE51" i="43" s="1"/>
  <c r="CE52" i="43" s="1"/>
  <c r="BW43" i="43"/>
  <c r="BW51" i="43" s="1"/>
  <c r="BW52" i="43" s="1"/>
  <c r="BW42" i="43"/>
  <c r="BW48" i="43" s="1"/>
  <c r="BW49" i="43" s="1"/>
  <c r="BJ43" i="43"/>
  <c r="BJ51" i="43" s="1"/>
  <c r="BJ52" i="43" s="1"/>
  <c r="BK43" i="43"/>
  <c r="BK51" i="43" s="1"/>
  <c r="BL43" i="43"/>
  <c r="BL51" i="43" s="1"/>
  <c r="BL52" i="43" s="1"/>
  <c r="BM43" i="43"/>
  <c r="BM51" i="43" s="1"/>
  <c r="BM52" i="43" s="1"/>
  <c r="BN43" i="43"/>
  <c r="BN51" i="43" s="1"/>
  <c r="BN52" i="43" s="1"/>
  <c r="BO43" i="43"/>
  <c r="BO51" i="43" s="1"/>
  <c r="BO52" i="43" s="1"/>
  <c r="BP43" i="43"/>
  <c r="BP51" i="43" s="1"/>
  <c r="BP52" i="43" s="1"/>
  <c r="BQ43" i="43"/>
  <c r="BQ51" i="43" s="1"/>
  <c r="BQ52" i="43" s="1"/>
  <c r="BI43" i="43"/>
  <c r="BI51" i="43" s="1"/>
  <c r="BI52" i="43" s="1"/>
  <c r="BJ42" i="43"/>
  <c r="BJ48" i="43" s="1"/>
  <c r="BJ49" i="43" s="1"/>
  <c r="BK42" i="43"/>
  <c r="BK48" i="43" s="1"/>
  <c r="BK49" i="43" s="1"/>
  <c r="BL42" i="43"/>
  <c r="BL48" i="43" s="1"/>
  <c r="BL49" i="43" s="1"/>
  <c r="BM42" i="43"/>
  <c r="BM48" i="43" s="1"/>
  <c r="BM49" i="43" s="1"/>
  <c r="BN42" i="43"/>
  <c r="BN48" i="43" s="1"/>
  <c r="BN49" i="43" s="1"/>
  <c r="BO42" i="43"/>
  <c r="BO48" i="43" s="1"/>
  <c r="BO49" i="43" s="1"/>
  <c r="BP42" i="43"/>
  <c r="BP48" i="43" s="1"/>
  <c r="BP49" i="43" s="1"/>
  <c r="BQ42" i="43"/>
  <c r="BQ48" i="43" s="1"/>
  <c r="BQ49" i="43" s="1"/>
  <c r="BI42" i="43"/>
  <c r="BI48" i="43" s="1"/>
  <c r="BI49" i="43" s="1"/>
  <c r="AU43" i="43"/>
  <c r="BP15" i="92"/>
  <c r="BQ15" i="92"/>
  <c r="BR15" i="92"/>
  <c r="BP16" i="92"/>
  <c r="BQ16" i="92"/>
  <c r="BR16" i="92"/>
  <c r="BP17" i="92"/>
  <c r="BQ17" i="92"/>
  <c r="BR17" i="92"/>
  <c r="BP18" i="92"/>
  <c r="BQ18" i="92"/>
  <c r="BR18" i="92"/>
  <c r="BP19" i="92"/>
  <c r="BQ19" i="92"/>
  <c r="BR19" i="92"/>
  <c r="BP20" i="92"/>
  <c r="BQ20" i="92"/>
  <c r="BR20" i="92"/>
  <c r="BP21" i="92"/>
  <c r="BQ21" i="92"/>
  <c r="BR21" i="92"/>
  <c r="BP22" i="92"/>
  <c r="BQ22" i="92"/>
  <c r="BR22" i="92"/>
  <c r="BP23" i="92"/>
  <c r="BQ23" i="92"/>
  <c r="BR23" i="92"/>
  <c r="BP24" i="92"/>
  <c r="BQ24" i="92"/>
  <c r="BR24" i="92"/>
  <c r="BP25" i="92"/>
  <c r="BQ25" i="92"/>
  <c r="BR25" i="92"/>
  <c r="BP26" i="92"/>
  <c r="BQ26" i="92"/>
  <c r="BR26" i="92"/>
  <c r="BP27" i="92"/>
  <c r="BQ27" i="92"/>
  <c r="BR27" i="92"/>
  <c r="BP28" i="92"/>
  <c r="BQ28" i="92"/>
  <c r="BR28" i="92"/>
  <c r="BP29" i="92"/>
  <c r="BQ29" i="92"/>
  <c r="BR29" i="92"/>
  <c r="BP30" i="92"/>
  <c r="BQ30" i="92"/>
  <c r="BR30" i="92"/>
  <c r="BP31" i="92"/>
  <c r="BQ31" i="92"/>
  <c r="BR31" i="92"/>
  <c r="BP32" i="92"/>
  <c r="BQ32" i="92"/>
  <c r="BR32" i="92"/>
  <c r="BP33" i="92"/>
  <c r="BQ33" i="92"/>
  <c r="BR33" i="92"/>
  <c r="BP34" i="92"/>
  <c r="BQ34" i="92"/>
  <c r="BR34" i="92"/>
  <c r="BP35" i="92"/>
  <c r="BQ35" i="92"/>
  <c r="BR35" i="92"/>
  <c r="BP36" i="92"/>
  <c r="BQ36" i="92"/>
  <c r="BR36" i="92"/>
  <c r="BP37" i="92"/>
  <c r="BQ37" i="92"/>
  <c r="BR37" i="92"/>
  <c r="BP38" i="92"/>
  <c r="BQ38" i="92"/>
  <c r="BR38" i="92"/>
  <c r="BP39" i="92"/>
  <c r="BQ39" i="92"/>
  <c r="BR39" i="92"/>
  <c r="BP40" i="92"/>
  <c r="BQ40" i="92"/>
  <c r="BR40" i="92"/>
  <c r="BP41" i="92"/>
  <c r="BQ41" i="92"/>
  <c r="BR41" i="92"/>
  <c r="BP42" i="92"/>
  <c r="BQ42" i="92"/>
  <c r="BR42" i="92"/>
  <c r="BP43" i="92"/>
  <c r="BQ43" i="92"/>
  <c r="BR43" i="92"/>
  <c r="BP44" i="92"/>
  <c r="BQ44" i="92"/>
  <c r="BR44" i="92"/>
  <c r="M18" i="1"/>
  <c r="N18" i="1" s="1"/>
  <c r="BK52" i="43" l="1"/>
  <c r="F22" i="50"/>
  <c r="C23" i="94" l="1"/>
  <c r="D23" i="94"/>
  <c r="E23" i="94"/>
  <c r="F23" i="94"/>
  <c r="G23" i="94"/>
  <c r="H23" i="94"/>
  <c r="C24" i="94"/>
  <c r="D24" i="94"/>
  <c r="E24" i="94"/>
  <c r="F24" i="94"/>
  <c r="G24" i="94"/>
  <c r="H24" i="94"/>
  <c r="C25" i="94"/>
  <c r="D25" i="94"/>
  <c r="E25" i="94"/>
  <c r="F25" i="94"/>
  <c r="G25" i="94"/>
  <c r="H25" i="94"/>
  <c r="C26" i="94"/>
  <c r="D26" i="94"/>
  <c r="E26" i="94"/>
  <c r="F26" i="94"/>
  <c r="G26" i="94"/>
  <c r="H26" i="94"/>
  <c r="C27" i="94"/>
  <c r="D27" i="94"/>
  <c r="E27" i="94"/>
  <c r="F27" i="94"/>
  <c r="G27" i="94"/>
  <c r="H27" i="94"/>
  <c r="C28" i="94"/>
  <c r="D28" i="94"/>
  <c r="E28" i="94"/>
  <c r="F28" i="94"/>
  <c r="G28" i="94"/>
  <c r="H28" i="94"/>
  <c r="C29" i="94"/>
  <c r="D29" i="94"/>
  <c r="E29" i="94"/>
  <c r="F29" i="94"/>
  <c r="G29" i="94"/>
  <c r="H29" i="94"/>
  <c r="C30" i="94"/>
  <c r="D30" i="94"/>
  <c r="E30" i="94"/>
  <c r="F30" i="94"/>
  <c r="G30" i="94"/>
  <c r="H30" i="94"/>
  <c r="C31" i="94"/>
  <c r="D31" i="94"/>
  <c r="E31" i="94"/>
  <c r="F31" i="94"/>
  <c r="G31" i="94"/>
  <c r="H31" i="94"/>
  <c r="C17" i="94"/>
  <c r="D17" i="94"/>
  <c r="E17" i="94"/>
  <c r="F17" i="94"/>
  <c r="G17" i="94"/>
  <c r="H17" i="94"/>
  <c r="C18" i="94"/>
  <c r="D18" i="94"/>
  <c r="E18" i="94"/>
  <c r="F18" i="94"/>
  <c r="G18" i="94"/>
  <c r="H18" i="94"/>
  <c r="C19" i="94"/>
  <c r="D19" i="94"/>
  <c r="E19" i="94"/>
  <c r="F19" i="94"/>
  <c r="G19" i="94"/>
  <c r="H19" i="94"/>
  <c r="C20" i="94"/>
  <c r="D20" i="94"/>
  <c r="E20" i="94"/>
  <c r="F20" i="94"/>
  <c r="G20" i="94"/>
  <c r="H20" i="94"/>
  <c r="C21" i="94"/>
  <c r="D21" i="94"/>
  <c r="E21" i="94"/>
  <c r="F21" i="94"/>
  <c r="G21" i="94"/>
  <c r="H21" i="94"/>
  <c r="C22" i="94"/>
  <c r="D22" i="94"/>
  <c r="E22" i="94"/>
  <c r="F22" i="94"/>
  <c r="G22" i="94"/>
  <c r="H22" i="94"/>
  <c r="O41" i="82" l="1"/>
  <c r="F41" i="82"/>
  <c r="G41" i="82"/>
  <c r="H41" i="82"/>
  <c r="I41" i="82"/>
  <c r="J41" i="82"/>
  <c r="K41" i="82"/>
  <c r="L41" i="82"/>
  <c r="M41" i="82"/>
  <c r="N41" i="82"/>
  <c r="E41" i="82"/>
  <c r="O40" i="82"/>
  <c r="F40" i="82"/>
  <c r="G40" i="82"/>
  <c r="H40" i="82"/>
  <c r="I40" i="82"/>
  <c r="J40" i="82"/>
  <c r="K40" i="82"/>
  <c r="L40" i="82"/>
  <c r="M40" i="82"/>
  <c r="N40" i="82"/>
  <c r="E40" i="82"/>
  <c r="F1" i="103"/>
  <c r="A1" i="105" s="1"/>
  <c r="A91" i="93"/>
  <c r="A90" i="93"/>
  <c r="A89" i="93"/>
  <c r="A88" i="93"/>
  <c r="A90" i="92"/>
  <c r="A89" i="92"/>
  <c r="A88" i="92"/>
  <c r="A87" i="92"/>
  <c r="A92" i="91"/>
  <c r="A91" i="91"/>
  <c r="A90" i="91"/>
  <c r="A89" i="91"/>
  <c r="A88" i="91"/>
  <c r="A90" i="90"/>
  <c r="A89" i="90"/>
  <c r="A88" i="90"/>
  <c r="A87" i="90"/>
  <c r="A92" i="89"/>
  <c r="A91" i="89"/>
  <c r="A90" i="89"/>
  <c r="A89" i="89"/>
  <c r="A88" i="89"/>
  <c r="A90" i="88"/>
  <c r="A89" i="88"/>
  <c r="A88" i="88"/>
  <c r="A87" i="88"/>
  <c r="A86" i="88"/>
  <c r="A92" i="87"/>
  <c r="A91" i="87"/>
  <c r="A90" i="87"/>
  <c r="A89" i="87"/>
  <c r="A88" i="87"/>
  <c r="A91" i="86"/>
  <c r="A90" i="86"/>
  <c r="A89" i="86"/>
  <c r="A88" i="86"/>
  <c r="A91" i="85"/>
  <c r="A90" i="85"/>
  <c r="A89" i="85"/>
  <c r="A88" i="85"/>
  <c r="A87" i="85"/>
  <c r="A91" i="84"/>
  <c r="A90" i="84"/>
  <c r="A89" i="84"/>
  <c r="A88" i="84"/>
  <c r="A90" i="83"/>
  <c r="A89" i="83"/>
  <c r="A88" i="83"/>
  <c r="A87" i="83"/>
  <c r="A97" i="41"/>
  <c r="A96" i="41"/>
  <c r="A95" i="41"/>
  <c r="A94" i="41"/>
  <c r="A93" i="41"/>
  <c r="AG46" i="23"/>
  <c r="Y46" i="23"/>
  <c r="I46" i="23"/>
  <c r="A21" i="96"/>
  <c r="C21" i="96"/>
  <c r="D21" i="96"/>
  <c r="E21" i="96"/>
  <c r="F21" i="96"/>
  <c r="G21" i="96"/>
  <c r="A22" i="96"/>
  <c r="C22" i="96"/>
  <c r="D22" i="96"/>
  <c r="E22" i="96"/>
  <c r="F22" i="96"/>
  <c r="G22" i="96"/>
  <c r="A23" i="96"/>
  <c r="C23" i="96"/>
  <c r="D23" i="96"/>
  <c r="E23" i="96"/>
  <c r="F23" i="96"/>
  <c r="G23" i="96"/>
  <c r="A24" i="96"/>
  <c r="C24" i="96"/>
  <c r="D24" i="96"/>
  <c r="E24" i="96"/>
  <c r="F24" i="96"/>
  <c r="G24" i="96"/>
  <c r="A25" i="96"/>
  <c r="C25" i="96"/>
  <c r="D25" i="96"/>
  <c r="E25" i="96"/>
  <c r="F25" i="96"/>
  <c r="G25" i="96"/>
  <c r="A26" i="96"/>
  <c r="C26" i="96"/>
  <c r="D26" i="96"/>
  <c r="E26" i="96"/>
  <c r="F26" i="96"/>
  <c r="G26" i="96"/>
  <c r="A27" i="96"/>
  <c r="C27" i="96"/>
  <c r="D27" i="96"/>
  <c r="E27" i="96"/>
  <c r="F27" i="96"/>
  <c r="G27" i="96"/>
  <c r="A28" i="96"/>
  <c r="C28" i="96"/>
  <c r="D28" i="96"/>
  <c r="E28" i="96"/>
  <c r="F28" i="96"/>
  <c r="G28" i="96"/>
  <c r="A29" i="96"/>
  <c r="C29" i="96"/>
  <c r="D29" i="96"/>
  <c r="E29" i="96"/>
  <c r="F29" i="96"/>
  <c r="G29" i="96"/>
  <c r="A30" i="96"/>
  <c r="C30" i="96"/>
  <c r="D30" i="96"/>
  <c r="E30" i="96"/>
  <c r="F30" i="96"/>
  <c r="G30" i="96"/>
  <c r="A31" i="96"/>
  <c r="C31" i="96"/>
  <c r="D31" i="96"/>
  <c r="E31" i="96"/>
  <c r="F31" i="96"/>
  <c r="G31" i="96"/>
  <c r="C21" i="95"/>
  <c r="D21" i="95"/>
  <c r="E21" i="95"/>
  <c r="F21" i="95"/>
  <c r="G21" i="95"/>
  <c r="C22" i="95"/>
  <c r="D22" i="95"/>
  <c r="E22" i="95"/>
  <c r="F22" i="95"/>
  <c r="G22" i="95"/>
  <c r="C23" i="95"/>
  <c r="D23" i="95"/>
  <c r="E23" i="95"/>
  <c r="F23" i="95"/>
  <c r="G23" i="95"/>
  <c r="C24" i="95"/>
  <c r="D24" i="95"/>
  <c r="E24" i="95"/>
  <c r="F24" i="95"/>
  <c r="G24" i="95"/>
  <c r="C25" i="95"/>
  <c r="D25" i="95"/>
  <c r="E25" i="95"/>
  <c r="F25" i="95"/>
  <c r="G25" i="95"/>
  <c r="C26" i="95"/>
  <c r="D26" i="95"/>
  <c r="E26" i="95"/>
  <c r="F26" i="95"/>
  <c r="G26" i="95"/>
  <c r="C27" i="95"/>
  <c r="D27" i="95"/>
  <c r="E27" i="95"/>
  <c r="F27" i="95"/>
  <c r="G27" i="95"/>
  <c r="C28" i="95"/>
  <c r="D28" i="95"/>
  <c r="E28" i="95"/>
  <c r="F28" i="95"/>
  <c r="G28" i="95"/>
  <c r="C29" i="95"/>
  <c r="D29" i="95"/>
  <c r="E29" i="95"/>
  <c r="F29" i="95"/>
  <c r="G29" i="95"/>
  <c r="C30" i="95"/>
  <c r="D30" i="95"/>
  <c r="E30" i="95"/>
  <c r="F30" i="95"/>
  <c r="G30" i="95"/>
  <c r="C31" i="95"/>
  <c r="D31" i="95"/>
  <c r="E31" i="95"/>
  <c r="F31" i="95"/>
  <c r="G31" i="95"/>
  <c r="C21" i="48"/>
  <c r="D21" i="48"/>
  <c r="E21" i="48"/>
  <c r="F21" i="48"/>
  <c r="G21" i="48"/>
  <c r="C22" i="48"/>
  <c r="D22" i="48"/>
  <c r="E22" i="48"/>
  <c r="F22" i="48"/>
  <c r="G22" i="48"/>
  <c r="C23" i="48"/>
  <c r="D23" i="48"/>
  <c r="E23" i="48"/>
  <c r="F23" i="48"/>
  <c r="G23" i="48"/>
  <c r="C24" i="48"/>
  <c r="D24" i="48"/>
  <c r="E24" i="48"/>
  <c r="F24" i="48"/>
  <c r="G24" i="48"/>
  <c r="C25" i="48"/>
  <c r="D25" i="48"/>
  <c r="E25" i="48"/>
  <c r="F25" i="48"/>
  <c r="G25" i="48"/>
  <c r="C26" i="48"/>
  <c r="D26" i="48"/>
  <c r="E26" i="48"/>
  <c r="F26" i="48"/>
  <c r="G26" i="48"/>
  <c r="C27" i="48"/>
  <c r="D27" i="48"/>
  <c r="E27" i="48"/>
  <c r="F27" i="48"/>
  <c r="G27" i="48"/>
  <c r="C28" i="48"/>
  <c r="D28" i="48"/>
  <c r="E28" i="48"/>
  <c r="F28" i="48"/>
  <c r="G28" i="48"/>
  <c r="C29" i="48"/>
  <c r="D29" i="48"/>
  <c r="E29" i="48"/>
  <c r="F29" i="48"/>
  <c r="G29" i="48"/>
  <c r="C30" i="48"/>
  <c r="D30" i="48"/>
  <c r="E30" i="48"/>
  <c r="F30" i="48"/>
  <c r="G30" i="48"/>
  <c r="C31" i="48"/>
  <c r="D31" i="48"/>
  <c r="E31" i="48"/>
  <c r="F31" i="48"/>
  <c r="G31" i="48"/>
  <c r="C21" i="49"/>
  <c r="D21" i="49"/>
  <c r="E21" i="49"/>
  <c r="F21" i="49"/>
  <c r="G21" i="49"/>
  <c r="C22" i="49"/>
  <c r="D22" i="49"/>
  <c r="E22" i="49"/>
  <c r="F22" i="49"/>
  <c r="G22" i="49"/>
  <c r="C23" i="49"/>
  <c r="D23" i="49"/>
  <c r="E23" i="49"/>
  <c r="F23" i="49"/>
  <c r="G23" i="49"/>
  <c r="C24" i="49"/>
  <c r="D24" i="49"/>
  <c r="E24" i="49"/>
  <c r="F24" i="49"/>
  <c r="G24" i="49"/>
  <c r="C25" i="49"/>
  <c r="D25" i="49"/>
  <c r="E25" i="49"/>
  <c r="F25" i="49"/>
  <c r="G25" i="49"/>
  <c r="C26" i="49"/>
  <c r="D26" i="49"/>
  <c r="E26" i="49"/>
  <c r="F26" i="49"/>
  <c r="G26" i="49"/>
  <c r="C27" i="49"/>
  <c r="D27" i="49"/>
  <c r="E27" i="49"/>
  <c r="F27" i="49"/>
  <c r="G27" i="49"/>
  <c r="C28" i="49"/>
  <c r="D28" i="49"/>
  <c r="E28" i="49"/>
  <c r="F28" i="49"/>
  <c r="G28" i="49"/>
  <c r="C29" i="49"/>
  <c r="D29" i="49"/>
  <c r="E29" i="49"/>
  <c r="F29" i="49"/>
  <c r="G29" i="49"/>
  <c r="C30" i="49"/>
  <c r="D30" i="49"/>
  <c r="E30" i="49"/>
  <c r="F30" i="49"/>
  <c r="G30" i="49"/>
  <c r="C31" i="49"/>
  <c r="D31" i="49"/>
  <c r="E31" i="49"/>
  <c r="F31" i="49"/>
  <c r="G31" i="49"/>
  <c r="C21" i="47"/>
  <c r="D21" i="47"/>
  <c r="E21" i="47"/>
  <c r="F21" i="47"/>
  <c r="G21" i="47"/>
  <c r="C22" i="47"/>
  <c r="D22" i="47"/>
  <c r="E22" i="47"/>
  <c r="F22" i="47"/>
  <c r="G22" i="47"/>
  <c r="C23" i="47"/>
  <c r="D23" i="47"/>
  <c r="E23" i="47"/>
  <c r="F23" i="47"/>
  <c r="G23" i="47"/>
  <c r="C24" i="47"/>
  <c r="D24" i="47"/>
  <c r="E24" i="47"/>
  <c r="F24" i="47"/>
  <c r="G24" i="47"/>
  <c r="C25" i="47"/>
  <c r="D25" i="47"/>
  <c r="E25" i="47"/>
  <c r="F25" i="47"/>
  <c r="G25" i="47"/>
  <c r="C26" i="47"/>
  <c r="D26" i="47"/>
  <c r="E26" i="47"/>
  <c r="F26" i="47"/>
  <c r="G26" i="47"/>
  <c r="C27" i="47"/>
  <c r="D27" i="47"/>
  <c r="E27" i="47"/>
  <c r="F27" i="47"/>
  <c r="G27" i="47"/>
  <c r="C28" i="47"/>
  <c r="D28" i="47"/>
  <c r="E28" i="47"/>
  <c r="F28" i="47"/>
  <c r="G28" i="47"/>
  <c r="C29" i="47"/>
  <c r="D29" i="47"/>
  <c r="E29" i="47"/>
  <c r="F29" i="47"/>
  <c r="G29" i="47"/>
  <c r="C30" i="47"/>
  <c r="D30" i="47"/>
  <c r="E30" i="47"/>
  <c r="F30" i="47"/>
  <c r="G30" i="47"/>
  <c r="C31" i="47"/>
  <c r="D31" i="47"/>
  <c r="E31" i="47"/>
  <c r="F31" i="47"/>
  <c r="G31" i="47"/>
  <c r="C21" i="46"/>
  <c r="D21" i="46"/>
  <c r="E21" i="46"/>
  <c r="F21" i="46"/>
  <c r="G21" i="46"/>
  <c r="C22" i="46"/>
  <c r="D22" i="46"/>
  <c r="E22" i="46"/>
  <c r="F22" i="46"/>
  <c r="G22" i="46"/>
  <c r="C23" i="46"/>
  <c r="D23" i="46"/>
  <c r="E23" i="46"/>
  <c r="F23" i="46"/>
  <c r="G23" i="46"/>
  <c r="C24" i="46"/>
  <c r="D24" i="46"/>
  <c r="E24" i="46"/>
  <c r="F24" i="46"/>
  <c r="G24" i="46"/>
  <c r="C25" i="46"/>
  <c r="D25" i="46"/>
  <c r="E25" i="46"/>
  <c r="F25" i="46"/>
  <c r="G25" i="46"/>
  <c r="C26" i="46"/>
  <c r="D26" i="46"/>
  <c r="E26" i="46"/>
  <c r="F26" i="46"/>
  <c r="G26" i="46"/>
  <c r="C27" i="46"/>
  <c r="D27" i="46"/>
  <c r="E27" i="46"/>
  <c r="F27" i="46"/>
  <c r="G27" i="46"/>
  <c r="C28" i="46"/>
  <c r="D28" i="46"/>
  <c r="E28" i="46"/>
  <c r="F28" i="46"/>
  <c r="G28" i="46"/>
  <c r="C29" i="46"/>
  <c r="D29" i="46"/>
  <c r="E29" i="46"/>
  <c r="F29" i="46"/>
  <c r="G29" i="46"/>
  <c r="C30" i="46"/>
  <c r="D30" i="46"/>
  <c r="E30" i="46"/>
  <c r="F30" i="46"/>
  <c r="G30" i="46"/>
  <c r="C31" i="46"/>
  <c r="D31" i="46"/>
  <c r="E31" i="46"/>
  <c r="F31" i="46"/>
  <c r="G31" i="46"/>
  <c r="AZ42" i="43"/>
  <c r="AV42" i="43"/>
  <c r="AW42" i="43"/>
  <c r="AX42" i="43"/>
  <c r="AY42" i="43"/>
  <c r="BA42" i="43"/>
  <c r="BB42" i="43"/>
  <c r="BC42" i="43"/>
  <c r="F43" i="43"/>
  <c r="G43" i="43"/>
  <c r="H43" i="43"/>
  <c r="I43" i="43"/>
  <c r="J43" i="43"/>
  <c r="K43" i="43"/>
  <c r="L43" i="43"/>
  <c r="M43" i="43"/>
  <c r="E43" i="43"/>
  <c r="BC43" i="43"/>
  <c r="AV43" i="43"/>
  <c r="AW43" i="43"/>
  <c r="AX43" i="43"/>
  <c r="AY43" i="43"/>
  <c r="AZ43" i="43"/>
  <c r="BA43" i="43"/>
  <c r="BB43" i="43"/>
  <c r="AO43" i="43"/>
  <c r="AH42" i="43"/>
  <c r="AI42" i="43"/>
  <c r="AJ42" i="43"/>
  <c r="AK42" i="43"/>
  <c r="AL42" i="43"/>
  <c r="AN42" i="43"/>
  <c r="AH43" i="43"/>
  <c r="AI43" i="43"/>
  <c r="AJ43" i="43"/>
  <c r="AK43" i="43"/>
  <c r="AL43" i="43"/>
  <c r="AM43" i="43"/>
  <c r="AN43" i="43"/>
  <c r="AG42" i="43"/>
  <c r="AG43" i="43"/>
  <c r="AA43" i="43"/>
  <c r="T43" i="43"/>
  <c r="U43" i="43"/>
  <c r="V43" i="43"/>
  <c r="W43" i="43"/>
  <c r="X43" i="43"/>
  <c r="Y43" i="43"/>
  <c r="Z43" i="43"/>
  <c r="AA42" i="43"/>
  <c r="T42" i="43"/>
  <c r="U42" i="43"/>
  <c r="V42" i="43"/>
  <c r="W42" i="43"/>
  <c r="X42" i="43"/>
  <c r="Y42" i="43"/>
  <c r="Z42" i="43"/>
  <c r="S43" i="43"/>
  <c r="S42" i="43"/>
  <c r="M42" i="43"/>
  <c r="F42" i="43"/>
  <c r="G42" i="43"/>
  <c r="H42" i="43"/>
  <c r="I42" i="43"/>
  <c r="J42" i="43"/>
  <c r="K42" i="43"/>
  <c r="L42" i="43"/>
  <c r="E42" i="43"/>
  <c r="DF20" i="41"/>
  <c r="DI20" i="41" s="1"/>
  <c r="DG20" i="41"/>
  <c r="DJ20" i="41" s="1"/>
  <c r="DH20" i="41"/>
  <c r="DK20" i="41"/>
  <c r="DF21" i="41"/>
  <c r="DI21" i="41" s="1"/>
  <c r="DG21" i="41"/>
  <c r="DH21" i="41"/>
  <c r="DK21" i="41" s="1"/>
  <c r="DJ21" i="41"/>
  <c r="DF22" i="41"/>
  <c r="DG22" i="41"/>
  <c r="DJ22" i="41" s="1"/>
  <c r="DH22" i="41"/>
  <c r="DK22" i="41" s="1"/>
  <c r="DI22" i="41"/>
  <c r="DF23" i="41"/>
  <c r="DI23" i="41" s="1"/>
  <c r="DG23" i="41"/>
  <c r="DJ23" i="41" s="1"/>
  <c r="DH23" i="41"/>
  <c r="DK23" i="41" s="1"/>
  <c r="DF24" i="41"/>
  <c r="DI24" i="41" s="1"/>
  <c r="DG24" i="41"/>
  <c r="DH24" i="41"/>
  <c r="DK24" i="41" s="1"/>
  <c r="DJ24" i="41"/>
  <c r="DF25" i="41"/>
  <c r="DI25" i="41" s="1"/>
  <c r="DG25" i="41"/>
  <c r="DH25" i="41"/>
  <c r="DK25" i="41" s="1"/>
  <c r="DJ25" i="41"/>
  <c r="DF26" i="41"/>
  <c r="DG26" i="41"/>
  <c r="DJ26" i="41" s="1"/>
  <c r="DH26" i="41"/>
  <c r="DK26" i="41" s="1"/>
  <c r="DI26" i="41"/>
  <c r="DF27" i="41"/>
  <c r="DI27" i="41" s="1"/>
  <c r="DG27" i="41"/>
  <c r="DJ27" i="41" s="1"/>
  <c r="DH27" i="41"/>
  <c r="DK27" i="41" s="1"/>
  <c r="DF28" i="41"/>
  <c r="DG28" i="41"/>
  <c r="DJ28" i="41" s="1"/>
  <c r="DH28" i="41"/>
  <c r="DK28" i="41" s="1"/>
  <c r="DI28" i="41"/>
  <c r="DF29" i="41"/>
  <c r="DI29" i="41" s="1"/>
  <c r="DG29" i="41"/>
  <c r="DJ29" i="41" s="1"/>
  <c r="DH29" i="41"/>
  <c r="DK29" i="41" s="1"/>
  <c r="DF30" i="41"/>
  <c r="DG30" i="41"/>
  <c r="DJ30" i="41" s="1"/>
  <c r="DH30" i="41"/>
  <c r="DK30" i="41" s="1"/>
  <c r="DI30" i="41"/>
  <c r="DF31" i="41"/>
  <c r="DI31" i="41" s="1"/>
  <c r="DG31" i="41"/>
  <c r="DH31" i="41"/>
  <c r="DK31" i="41" s="1"/>
  <c r="DJ31" i="41"/>
  <c r="DF32" i="41"/>
  <c r="DI32" i="41" s="1"/>
  <c r="DG32" i="41"/>
  <c r="DJ32" i="41" s="1"/>
  <c r="DH32" i="41"/>
  <c r="DK32" i="41" s="1"/>
  <c r="DF33" i="41"/>
  <c r="DI33" i="41" s="1"/>
  <c r="DG33" i="41"/>
  <c r="DH33" i="41"/>
  <c r="DJ33" i="41"/>
  <c r="DK33" i="41"/>
  <c r="DF34" i="41"/>
  <c r="DI34" i="41" s="1"/>
  <c r="DG34" i="41"/>
  <c r="DJ34" i="41" s="1"/>
  <c r="DH34" i="41"/>
  <c r="DK34" i="41"/>
  <c r="DF35" i="41"/>
  <c r="DI35" i="41" s="1"/>
  <c r="DG35" i="41"/>
  <c r="DH35" i="41"/>
  <c r="DK35" i="41" s="1"/>
  <c r="DJ35" i="41"/>
  <c r="DF36" i="41"/>
  <c r="DI36" i="41" s="1"/>
  <c r="DG36" i="41"/>
  <c r="DJ36" i="41" s="1"/>
  <c r="DH36" i="41"/>
  <c r="DK36" i="41"/>
  <c r="DF37" i="41"/>
  <c r="DI37" i="41" s="1"/>
  <c r="DG37" i="41"/>
  <c r="DJ37" i="41" s="1"/>
  <c r="DH37" i="41"/>
  <c r="DK37" i="41" s="1"/>
  <c r="DF38" i="41"/>
  <c r="DI38" i="41" s="1"/>
  <c r="DG38" i="41"/>
  <c r="DJ38" i="41" s="1"/>
  <c r="DH38" i="41"/>
  <c r="DK38" i="41"/>
  <c r="DF39" i="41"/>
  <c r="DI39" i="41" s="1"/>
  <c r="DG39" i="41"/>
  <c r="DJ39" i="41" s="1"/>
  <c r="DH39" i="41"/>
  <c r="DK39" i="41" s="1"/>
  <c r="DF40" i="41"/>
  <c r="DI40" i="41" s="1"/>
  <c r="DG40" i="41"/>
  <c r="DJ40" i="41" s="1"/>
  <c r="DH40" i="41"/>
  <c r="DK40" i="41" s="1"/>
  <c r="DF41" i="41"/>
  <c r="DI41" i="41" s="1"/>
  <c r="DG41" i="41"/>
  <c r="DH41" i="41"/>
  <c r="DJ41" i="41"/>
  <c r="DK41" i="41"/>
  <c r="DF42" i="41"/>
  <c r="DI42" i="41" s="1"/>
  <c r="DG42" i="41"/>
  <c r="DJ42" i="41" s="1"/>
  <c r="DH42" i="41"/>
  <c r="DK42" i="41" s="1"/>
  <c r="DF43" i="41"/>
  <c r="DI43" i="41" s="1"/>
  <c r="DG43" i="41"/>
  <c r="DH43" i="41"/>
  <c r="DK43" i="41" s="1"/>
  <c r="DJ43" i="41"/>
  <c r="DF44" i="41"/>
  <c r="DI44" i="41" s="1"/>
  <c r="DG44" i="41"/>
  <c r="DJ44" i="41" s="1"/>
  <c r="DH44" i="41"/>
  <c r="DK44" i="41" s="1"/>
  <c r="DF45" i="41"/>
  <c r="DI45" i="41" s="1"/>
  <c r="DG45" i="41"/>
  <c r="DJ45" i="41" s="1"/>
  <c r="DH45" i="41"/>
  <c r="DK45" i="41" s="1"/>
  <c r="DF46" i="41"/>
  <c r="DI46" i="41" s="1"/>
  <c r="DG46" i="41"/>
  <c r="DJ46" i="41" s="1"/>
  <c r="DH46" i="41"/>
  <c r="DK46" i="41" s="1"/>
  <c r="DF47" i="41"/>
  <c r="DG47" i="41"/>
  <c r="DH47" i="41"/>
  <c r="DK47" i="41" s="1"/>
  <c r="DI47" i="41"/>
  <c r="DJ47" i="41"/>
  <c r="DF48" i="41"/>
  <c r="DI48" i="41" s="1"/>
  <c r="DG48" i="41"/>
  <c r="DJ48" i="41" s="1"/>
  <c r="DH48" i="41"/>
  <c r="DK48" i="41" s="1"/>
  <c r="DF49" i="41"/>
  <c r="DI49" i="41" s="1"/>
  <c r="DG49" i="41"/>
  <c r="DJ49" i="41" s="1"/>
  <c r="DH49" i="41"/>
  <c r="DK49" i="41" s="1"/>
  <c r="DF50" i="41"/>
  <c r="DI50" i="41" s="1"/>
  <c r="DG50" i="41"/>
  <c r="DJ50" i="41" s="1"/>
  <c r="DH50" i="41"/>
  <c r="DK50" i="41" s="1"/>
  <c r="DJ51" i="41"/>
  <c r="DK51" i="41"/>
  <c r="DL48" i="41" l="1"/>
  <c r="DL51" i="41"/>
  <c r="A93" i="89"/>
  <c r="A91" i="88"/>
  <c r="A93" i="87"/>
  <c r="DL46" i="41"/>
  <c r="DL50" i="41"/>
  <c r="DL33" i="41"/>
  <c r="DL42" i="41"/>
  <c r="DL32" i="41"/>
  <c r="DL40" i="41"/>
  <c r="DL49" i="41"/>
  <c r="DL47" i="41"/>
  <c r="DL43" i="41"/>
  <c r="DL36" i="41"/>
  <c r="DL22" i="41"/>
  <c r="DL41" i="41"/>
  <c r="DL31" i="41"/>
  <c r="DL26" i="41"/>
  <c r="DL39" i="41"/>
  <c r="DL34" i="41"/>
  <c r="DL24" i="41"/>
  <c r="DL25" i="41"/>
  <c r="DL44" i="41"/>
  <c r="A1" i="104"/>
  <c r="DL23" i="41"/>
  <c r="DL21" i="41"/>
  <c r="DL29" i="41"/>
  <c r="DL37" i="41"/>
  <c r="DL30" i="41"/>
  <c r="DL27" i="41"/>
  <c r="DL45" i="41"/>
  <c r="DL38" i="41"/>
  <c r="DL35" i="41"/>
  <c r="DL28" i="41"/>
  <c r="DL20" i="41"/>
  <c r="A1" i="102" l="1"/>
  <c r="O8" i="43" l="1"/>
  <c r="A1" i="47" s="1"/>
  <c r="AC8" i="43"/>
  <c r="A1" i="49" s="1"/>
  <c r="AQ8" i="43"/>
  <c r="A1" i="96" s="1"/>
  <c r="BE8" i="43"/>
  <c r="BS8" i="43"/>
  <c r="A8" i="43"/>
  <c r="A1" i="46" s="1"/>
  <c r="A8" i="82"/>
  <c r="A1" i="94" s="1"/>
  <c r="A5" i="96"/>
  <c r="C5" i="96"/>
  <c r="D5" i="96"/>
  <c r="E5" i="96"/>
  <c r="F5" i="96"/>
  <c r="G5" i="96"/>
  <c r="A6" i="96"/>
  <c r="C6" i="96"/>
  <c r="D6" i="96"/>
  <c r="E6" i="96"/>
  <c r="F6" i="96"/>
  <c r="G6" i="96"/>
  <c r="A7" i="96"/>
  <c r="C7" i="96"/>
  <c r="D7" i="96"/>
  <c r="E7" i="96"/>
  <c r="F7" i="96"/>
  <c r="G7" i="96"/>
  <c r="A8" i="96"/>
  <c r="C8" i="96"/>
  <c r="D8" i="96"/>
  <c r="E8" i="96"/>
  <c r="F8" i="96"/>
  <c r="G8" i="96"/>
  <c r="A9" i="96"/>
  <c r="C9" i="96"/>
  <c r="D9" i="96"/>
  <c r="E9" i="96"/>
  <c r="F9" i="96"/>
  <c r="G9" i="96"/>
  <c r="A10" i="96"/>
  <c r="C10" i="96"/>
  <c r="D10" i="96"/>
  <c r="E10" i="96"/>
  <c r="F10" i="96"/>
  <c r="G10" i="96"/>
  <c r="A11" i="96"/>
  <c r="C11" i="96"/>
  <c r="D11" i="96"/>
  <c r="E11" i="96"/>
  <c r="F11" i="96"/>
  <c r="G11" i="96"/>
  <c r="A12" i="96"/>
  <c r="C12" i="96"/>
  <c r="D12" i="96"/>
  <c r="E12" i="96"/>
  <c r="F12" i="96"/>
  <c r="G12" i="96"/>
  <c r="A13" i="96"/>
  <c r="C13" i="96"/>
  <c r="D13" i="96"/>
  <c r="E13" i="96"/>
  <c r="F13" i="96"/>
  <c r="G13" i="96"/>
  <c r="A14" i="96"/>
  <c r="C14" i="96"/>
  <c r="D14" i="96"/>
  <c r="E14" i="96"/>
  <c r="F14" i="96"/>
  <c r="G14" i="96"/>
  <c r="A15" i="96"/>
  <c r="C15" i="96"/>
  <c r="D15" i="96"/>
  <c r="E15" i="96"/>
  <c r="F15" i="96"/>
  <c r="G15" i="96"/>
  <c r="A16" i="96"/>
  <c r="C16" i="96"/>
  <c r="D16" i="96"/>
  <c r="E16" i="96"/>
  <c r="F16" i="96"/>
  <c r="G16" i="96"/>
  <c r="A17" i="96"/>
  <c r="C17" i="96"/>
  <c r="D17" i="96"/>
  <c r="E17" i="96"/>
  <c r="F17" i="96"/>
  <c r="G17" i="96"/>
  <c r="A18" i="96"/>
  <c r="C18" i="96"/>
  <c r="D18" i="96"/>
  <c r="E18" i="96"/>
  <c r="F18" i="96"/>
  <c r="G18" i="96"/>
  <c r="A19" i="96"/>
  <c r="C19" i="96"/>
  <c r="D19" i="96"/>
  <c r="E19" i="96"/>
  <c r="F19" i="96"/>
  <c r="G19" i="96"/>
  <c r="A20" i="96"/>
  <c r="C20" i="96"/>
  <c r="D20" i="96"/>
  <c r="E20" i="96"/>
  <c r="F20" i="96"/>
  <c r="G20" i="96"/>
  <c r="G4" i="96"/>
  <c r="F4" i="96"/>
  <c r="E4" i="96"/>
  <c r="D4" i="96"/>
  <c r="C4" i="96"/>
  <c r="A4" i="96"/>
  <c r="A1" i="48" l="1"/>
  <c r="A1" i="95"/>
  <c r="C5" i="95" l="1"/>
  <c r="D5" i="95"/>
  <c r="E5" i="95"/>
  <c r="F5" i="95"/>
  <c r="G5" i="95"/>
  <c r="C6" i="95"/>
  <c r="D6" i="95"/>
  <c r="E6" i="95"/>
  <c r="F6" i="95"/>
  <c r="G6" i="95"/>
  <c r="C7" i="95"/>
  <c r="D7" i="95"/>
  <c r="E7" i="95"/>
  <c r="F7" i="95"/>
  <c r="G7" i="95"/>
  <c r="C8" i="95"/>
  <c r="D8" i="95"/>
  <c r="E8" i="95"/>
  <c r="F8" i="95"/>
  <c r="G8" i="95"/>
  <c r="C9" i="95"/>
  <c r="D9" i="95"/>
  <c r="E9" i="95"/>
  <c r="F9" i="95"/>
  <c r="G9" i="95"/>
  <c r="C10" i="95"/>
  <c r="D10" i="95"/>
  <c r="E10" i="95"/>
  <c r="F10" i="95"/>
  <c r="G10" i="95"/>
  <c r="C11" i="95"/>
  <c r="D11" i="95"/>
  <c r="E11" i="95"/>
  <c r="F11" i="95"/>
  <c r="G11" i="95"/>
  <c r="C12" i="95"/>
  <c r="D12" i="95"/>
  <c r="E12" i="95"/>
  <c r="F12" i="95"/>
  <c r="G12" i="95"/>
  <c r="C13" i="95"/>
  <c r="D13" i="95"/>
  <c r="E13" i="95"/>
  <c r="F13" i="95"/>
  <c r="G13" i="95"/>
  <c r="C14" i="95"/>
  <c r="D14" i="95"/>
  <c r="E14" i="95"/>
  <c r="F14" i="95"/>
  <c r="G14" i="95"/>
  <c r="C15" i="95"/>
  <c r="D15" i="95"/>
  <c r="E15" i="95"/>
  <c r="F15" i="95"/>
  <c r="G15" i="95"/>
  <c r="C16" i="95"/>
  <c r="D16" i="95"/>
  <c r="E16" i="95"/>
  <c r="F16" i="95"/>
  <c r="G16" i="95"/>
  <c r="C17" i="95"/>
  <c r="D17" i="95"/>
  <c r="E17" i="95"/>
  <c r="F17" i="95"/>
  <c r="G17" i="95"/>
  <c r="C18" i="95"/>
  <c r="D18" i="95"/>
  <c r="E18" i="95"/>
  <c r="F18" i="95"/>
  <c r="G18" i="95"/>
  <c r="C19" i="95"/>
  <c r="D19" i="95"/>
  <c r="E19" i="95"/>
  <c r="F19" i="95"/>
  <c r="G19" i="95"/>
  <c r="C20" i="95"/>
  <c r="D20" i="95"/>
  <c r="E20" i="95"/>
  <c r="F20" i="95"/>
  <c r="G20" i="95"/>
  <c r="G4" i="95"/>
  <c r="F4" i="95"/>
  <c r="E4" i="95"/>
  <c r="D4" i="95"/>
  <c r="C4" i="95"/>
  <c r="F2" i="96"/>
  <c r="D2" i="96"/>
  <c r="F2" i="95"/>
  <c r="D2" i="95"/>
  <c r="CU43" i="88"/>
  <c r="CV43" i="88"/>
  <c r="CW43" i="88"/>
  <c r="CX43" i="88"/>
  <c r="CY43" i="88"/>
  <c r="CZ43" i="88"/>
  <c r="DA43" i="88"/>
  <c r="DB43" i="88"/>
  <c r="DC43" i="88"/>
  <c r="DD43" i="88"/>
  <c r="CU46" i="88"/>
  <c r="CV46" i="88"/>
  <c r="CW46" i="88"/>
  <c r="CX46" i="88"/>
  <c r="CY46" i="88"/>
  <c r="CZ46" i="88"/>
  <c r="DA46" i="88"/>
  <c r="DB46" i="88"/>
  <c r="DC46" i="88"/>
  <c r="DD46" i="88"/>
  <c r="BG84" i="93"/>
  <c r="BG83" i="93"/>
  <c r="BG82" i="93"/>
  <c r="BG81" i="93"/>
  <c r="CX85" i="93"/>
  <c r="CX84" i="93"/>
  <c r="CX83" i="93"/>
  <c r="CX82" i="93"/>
  <c r="CX85" i="92"/>
  <c r="CX84" i="92"/>
  <c r="CX83" i="92"/>
  <c r="CX82" i="92"/>
  <c r="CX85" i="91"/>
  <c r="CX84" i="91"/>
  <c r="CX83" i="91"/>
  <c r="CX82" i="91"/>
  <c r="CX85" i="90"/>
  <c r="CX84" i="90"/>
  <c r="CX83" i="90"/>
  <c r="CX82" i="90"/>
  <c r="CX85" i="89"/>
  <c r="CX84" i="89"/>
  <c r="CX83" i="89"/>
  <c r="CX82" i="89"/>
  <c r="CX85" i="88"/>
  <c r="CX84" i="88"/>
  <c r="CX83" i="88"/>
  <c r="CX82" i="88"/>
  <c r="CX85" i="87"/>
  <c r="CX84" i="87"/>
  <c r="CX83" i="87"/>
  <c r="CX82" i="87"/>
  <c r="CX85" i="86"/>
  <c r="CX84" i="86"/>
  <c r="CX83" i="86"/>
  <c r="CX82" i="86"/>
  <c r="CX85" i="85"/>
  <c r="CX84" i="85"/>
  <c r="CX83" i="85"/>
  <c r="CX82" i="85"/>
  <c r="CX85" i="84"/>
  <c r="CX84" i="84"/>
  <c r="CX83" i="84"/>
  <c r="CX82" i="84"/>
  <c r="CX85" i="83"/>
  <c r="CX84" i="83"/>
  <c r="CX83" i="83"/>
  <c r="CX82" i="83"/>
  <c r="BG83" i="88"/>
  <c r="BG82" i="88"/>
  <c r="BG81" i="88"/>
  <c r="BG80" i="88"/>
  <c r="BM43" i="88"/>
  <c r="BL43" i="88"/>
  <c r="BK43" i="88"/>
  <c r="BJ43" i="88"/>
  <c r="BI43" i="88"/>
  <c r="BH43" i="88"/>
  <c r="BG43" i="88"/>
  <c r="BF43" i="88"/>
  <c r="BE43" i="88"/>
  <c r="BD43" i="88"/>
  <c r="BG84" i="92"/>
  <c r="BG83" i="92"/>
  <c r="BG82" i="92"/>
  <c r="BG81" i="92"/>
  <c r="BG84" i="90"/>
  <c r="BG83" i="90"/>
  <c r="BG82" i="90"/>
  <c r="BG81" i="90"/>
  <c r="BG84" i="85"/>
  <c r="BG83" i="85"/>
  <c r="BG82" i="85"/>
  <c r="BG81" i="85"/>
  <c r="BG84" i="91"/>
  <c r="BG83" i="91"/>
  <c r="BG82" i="91"/>
  <c r="BG81" i="91"/>
  <c r="BG84" i="89"/>
  <c r="BG83" i="89"/>
  <c r="BG82" i="89"/>
  <c r="BG81" i="89"/>
  <c r="BG84" i="87"/>
  <c r="BG83" i="87"/>
  <c r="BG82" i="87"/>
  <c r="BG81" i="87"/>
  <c r="BG84" i="86"/>
  <c r="BG83" i="86"/>
  <c r="BG82" i="86"/>
  <c r="BG81" i="86"/>
  <c r="BG84" i="84"/>
  <c r="BG83" i="84"/>
  <c r="BG82" i="84"/>
  <c r="BG81" i="84"/>
  <c r="BG84" i="83"/>
  <c r="BG83" i="83"/>
  <c r="BG82" i="83"/>
  <c r="BG81" i="83"/>
  <c r="BF14" i="43"/>
  <c r="A4" i="95" s="1"/>
  <c r="BT14" i="43"/>
  <c r="BU14" i="43" s="1"/>
  <c r="B4" i="96" s="1"/>
  <c r="BQ20" i="41"/>
  <c r="BP20" i="41"/>
  <c r="D65" i="84"/>
  <c r="D64" i="84"/>
  <c r="D64" i="85"/>
  <c r="D63" i="85"/>
  <c r="D65" i="86"/>
  <c r="D64" i="86"/>
  <c r="D65" i="87"/>
  <c r="D64" i="87"/>
  <c r="D63" i="88"/>
  <c r="D62" i="88"/>
  <c r="D65" i="89"/>
  <c r="D64" i="89"/>
  <c r="D64" i="90"/>
  <c r="D63" i="90"/>
  <c r="D65" i="91"/>
  <c r="D64" i="91"/>
  <c r="D64" i="92"/>
  <c r="D63" i="92"/>
  <c r="D65" i="93"/>
  <c r="D64" i="93"/>
  <c r="D64" i="83"/>
  <c r="D63" i="83"/>
  <c r="D70" i="41"/>
  <c r="D69" i="41"/>
  <c r="A12" i="86"/>
  <c r="A12" i="85"/>
  <c r="A12" i="84"/>
  <c r="A12" i="83"/>
  <c r="A54" i="93"/>
  <c r="A53" i="92"/>
  <c r="A54" i="91"/>
  <c r="A53" i="90"/>
  <c r="A54" i="89"/>
  <c r="A52" i="88"/>
  <c r="A54" i="87"/>
  <c r="A54" i="86"/>
  <c r="A53" i="85"/>
  <c r="A54" i="84"/>
  <c r="A59" i="41"/>
  <c r="E48" i="43"/>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H93" i="1"/>
  <c r="H94" i="1"/>
  <c r="H95" i="1"/>
  <c r="H96" i="1"/>
  <c r="H97" i="1"/>
  <c r="H98" i="1"/>
  <c r="H89" i="1"/>
  <c r="H90" i="1"/>
  <c r="H91" i="1"/>
  <c r="H92" i="1"/>
  <c r="H85" i="1"/>
  <c r="H86" i="1"/>
  <c r="H87" i="1"/>
  <c r="H88" i="1"/>
  <c r="H81" i="1"/>
  <c r="H82" i="1"/>
  <c r="H83" i="1"/>
  <c r="H84" i="1"/>
  <c r="H77" i="1"/>
  <c r="H78" i="1"/>
  <c r="H79" i="1"/>
  <c r="H80" i="1"/>
  <c r="H73" i="1"/>
  <c r="H74" i="1"/>
  <c r="H75" i="1"/>
  <c r="H76" i="1"/>
  <c r="H69" i="1"/>
  <c r="H70" i="1"/>
  <c r="H71" i="1"/>
  <c r="H72" i="1"/>
  <c r="H65" i="1"/>
  <c r="H66" i="1"/>
  <c r="H67" i="1"/>
  <c r="H68" i="1"/>
  <c r="H60" i="1"/>
  <c r="H61" i="1"/>
  <c r="H62" i="1"/>
  <c r="H63" i="1"/>
  <c r="H64" i="1"/>
  <c r="B84" i="1"/>
  <c r="B85" i="1"/>
  <c r="B86" i="1"/>
  <c r="B87" i="1"/>
  <c r="B88" i="1"/>
  <c r="B89" i="1"/>
  <c r="B90" i="1"/>
  <c r="B91" i="1"/>
  <c r="B92" i="1"/>
  <c r="B93" i="1"/>
  <c r="B94" i="1"/>
  <c r="B95" i="1"/>
  <c r="B96" i="1"/>
  <c r="B97" i="1"/>
  <c r="B98" i="1"/>
  <c r="B81" i="1"/>
  <c r="B82" i="1"/>
  <c r="B83" i="1"/>
  <c r="B80" i="1"/>
  <c r="B79" i="1"/>
  <c r="B76" i="1"/>
  <c r="B77" i="1"/>
  <c r="B78" i="1"/>
  <c r="B71" i="1"/>
  <c r="B72" i="1"/>
  <c r="B73" i="1"/>
  <c r="B74" i="1"/>
  <c r="B75" i="1"/>
  <c r="B65" i="1"/>
  <c r="B66" i="1"/>
  <c r="B67" i="1"/>
  <c r="B68" i="1"/>
  <c r="B69" i="1"/>
  <c r="B70" i="1"/>
  <c r="B60" i="1"/>
  <c r="B61" i="1"/>
  <c r="B62" i="1"/>
  <c r="B63" i="1"/>
  <c r="B64" i="1"/>
  <c r="L97" i="43"/>
  <c r="M97" i="43"/>
  <c r="N97" i="43"/>
  <c r="O97" i="43"/>
  <c r="P97" i="43"/>
  <c r="Q97" i="43"/>
  <c r="R97" i="43"/>
  <c r="S97" i="43"/>
  <c r="T97" i="43"/>
  <c r="U97" i="43"/>
  <c r="V97" i="43"/>
  <c r="W97" i="43"/>
  <c r="L59" i="43"/>
  <c r="M59" i="43"/>
  <c r="N59" i="43"/>
  <c r="O59" i="43"/>
  <c r="P59" i="43"/>
  <c r="Q59" i="43"/>
  <c r="R59" i="43"/>
  <c r="S59" i="43"/>
  <c r="T59" i="43"/>
  <c r="U59" i="43"/>
  <c r="V59" i="43"/>
  <c r="W59" i="43"/>
  <c r="L60" i="43"/>
  <c r="M60" i="43"/>
  <c r="N60" i="43"/>
  <c r="O60" i="43"/>
  <c r="P60" i="43"/>
  <c r="Q60" i="43"/>
  <c r="R60" i="43"/>
  <c r="S60" i="43"/>
  <c r="T60" i="43"/>
  <c r="U60" i="43"/>
  <c r="V60" i="43"/>
  <c r="W60" i="43"/>
  <c r="L61" i="43"/>
  <c r="M61" i="43"/>
  <c r="N61" i="43"/>
  <c r="O61" i="43"/>
  <c r="P61" i="43"/>
  <c r="Q61" i="43"/>
  <c r="R61" i="43"/>
  <c r="S61" i="43"/>
  <c r="T61" i="43"/>
  <c r="U61" i="43"/>
  <c r="V61" i="43"/>
  <c r="W61" i="43"/>
  <c r="L62" i="43"/>
  <c r="M62" i="43"/>
  <c r="N62" i="43"/>
  <c r="O62" i="43"/>
  <c r="P62" i="43"/>
  <c r="Q62" i="43"/>
  <c r="R62" i="43"/>
  <c r="S62" i="43"/>
  <c r="T62" i="43"/>
  <c r="U62" i="43"/>
  <c r="V62" i="43"/>
  <c r="W62" i="43"/>
  <c r="L63" i="43"/>
  <c r="M63" i="43"/>
  <c r="N63" i="43"/>
  <c r="O63" i="43"/>
  <c r="P63" i="43"/>
  <c r="Q63" i="43"/>
  <c r="R63" i="43"/>
  <c r="S63" i="43"/>
  <c r="T63" i="43"/>
  <c r="U63" i="43"/>
  <c r="V63" i="43"/>
  <c r="W63" i="43"/>
  <c r="L64" i="43"/>
  <c r="M64" i="43"/>
  <c r="N64" i="43"/>
  <c r="O64" i="43"/>
  <c r="P64" i="43"/>
  <c r="Q64" i="43"/>
  <c r="R64" i="43"/>
  <c r="S64" i="43"/>
  <c r="T64" i="43"/>
  <c r="U64" i="43"/>
  <c r="V64" i="43"/>
  <c r="W64" i="43"/>
  <c r="L65" i="43"/>
  <c r="M65" i="43"/>
  <c r="N65" i="43"/>
  <c r="O65" i="43"/>
  <c r="P65" i="43"/>
  <c r="Q65" i="43"/>
  <c r="R65" i="43"/>
  <c r="S65" i="43"/>
  <c r="T65" i="43"/>
  <c r="U65" i="43"/>
  <c r="V65" i="43"/>
  <c r="W65" i="43"/>
  <c r="L66" i="43"/>
  <c r="M66" i="43"/>
  <c r="N66" i="43"/>
  <c r="O66" i="43"/>
  <c r="P66" i="43"/>
  <c r="Q66" i="43"/>
  <c r="R66" i="43"/>
  <c r="S66" i="43"/>
  <c r="T66" i="43"/>
  <c r="U66" i="43"/>
  <c r="V66" i="43"/>
  <c r="W66" i="43"/>
  <c r="L67" i="43"/>
  <c r="M67" i="43"/>
  <c r="N67" i="43"/>
  <c r="O67" i="43"/>
  <c r="P67" i="43"/>
  <c r="Q67" i="43"/>
  <c r="R67" i="43"/>
  <c r="S67" i="43"/>
  <c r="T67" i="43"/>
  <c r="U67" i="43"/>
  <c r="V67" i="43"/>
  <c r="W67" i="43"/>
  <c r="L68" i="43"/>
  <c r="M68" i="43"/>
  <c r="N68" i="43"/>
  <c r="O68" i="43"/>
  <c r="P68" i="43"/>
  <c r="Q68" i="43"/>
  <c r="R68" i="43"/>
  <c r="S68" i="43"/>
  <c r="T68" i="43"/>
  <c r="U68" i="43"/>
  <c r="V68" i="43"/>
  <c r="W68" i="43"/>
  <c r="L69" i="43"/>
  <c r="M69" i="43"/>
  <c r="N69" i="43"/>
  <c r="O69" i="43"/>
  <c r="P69" i="43"/>
  <c r="Q69" i="43"/>
  <c r="R69" i="43"/>
  <c r="S69" i="43"/>
  <c r="T69" i="43"/>
  <c r="U69" i="43"/>
  <c r="V69" i="43"/>
  <c r="W69" i="43"/>
  <c r="L70" i="43"/>
  <c r="M70" i="43"/>
  <c r="N70" i="43"/>
  <c r="O70" i="43"/>
  <c r="P70" i="43"/>
  <c r="Q70" i="43"/>
  <c r="R70" i="43"/>
  <c r="S70" i="43"/>
  <c r="T70" i="43"/>
  <c r="U70" i="43"/>
  <c r="V70" i="43"/>
  <c r="W70" i="43"/>
  <c r="L71" i="43"/>
  <c r="M71" i="43"/>
  <c r="N71" i="43"/>
  <c r="O71" i="43"/>
  <c r="P71" i="43"/>
  <c r="Q71" i="43"/>
  <c r="R71" i="43"/>
  <c r="S71" i="43"/>
  <c r="T71" i="43"/>
  <c r="U71" i="43"/>
  <c r="V71" i="43"/>
  <c r="W71" i="43"/>
  <c r="L72" i="43"/>
  <c r="M72" i="43"/>
  <c r="N72" i="43"/>
  <c r="O72" i="43"/>
  <c r="P72" i="43"/>
  <c r="Q72" i="43"/>
  <c r="R72" i="43"/>
  <c r="S72" i="43"/>
  <c r="T72" i="43"/>
  <c r="U72" i="43"/>
  <c r="V72" i="43"/>
  <c r="W72" i="43"/>
  <c r="L73" i="43"/>
  <c r="M73" i="43"/>
  <c r="N73" i="43"/>
  <c r="O73" i="43"/>
  <c r="P73" i="43"/>
  <c r="Q73" i="43"/>
  <c r="R73" i="43"/>
  <c r="S73" i="43"/>
  <c r="T73" i="43"/>
  <c r="U73" i="43"/>
  <c r="V73" i="43"/>
  <c r="W73" i="43"/>
  <c r="L74" i="43"/>
  <c r="M74" i="43"/>
  <c r="N74" i="43"/>
  <c r="O74" i="43"/>
  <c r="P74" i="43"/>
  <c r="Q74" i="43"/>
  <c r="R74" i="43"/>
  <c r="S74" i="43"/>
  <c r="T74" i="43"/>
  <c r="U74" i="43"/>
  <c r="V74" i="43"/>
  <c r="W74" i="43"/>
  <c r="L75" i="43"/>
  <c r="M75" i="43"/>
  <c r="N75" i="43"/>
  <c r="O75" i="43"/>
  <c r="P75" i="43"/>
  <c r="Q75" i="43"/>
  <c r="R75" i="43"/>
  <c r="S75" i="43"/>
  <c r="T75" i="43"/>
  <c r="U75" i="43"/>
  <c r="V75" i="43"/>
  <c r="W75" i="43"/>
  <c r="L76" i="43"/>
  <c r="M76" i="43"/>
  <c r="N76" i="43"/>
  <c r="O76" i="43"/>
  <c r="P76" i="43"/>
  <c r="Q76" i="43"/>
  <c r="R76" i="43"/>
  <c r="S76" i="43"/>
  <c r="T76" i="43"/>
  <c r="U76" i="43"/>
  <c r="V76" i="43"/>
  <c r="W76" i="43"/>
  <c r="L77" i="43"/>
  <c r="M77" i="43"/>
  <c r="N77" i="43"/>
  <c r="O77" i="43"/>
  <c r="P77" i="43"/>
  <c r="Q77" i="43"/>
  <c r="R77" i="43"/>
  <c r="S77" i="43"/>
  <c r="T77" i="43"/>
  <c r="U77" i="43"/>
  <c r="V77" i="43"/>
  <c r="W77" i="43"/>
  <c r="L78" i="43"/>
  <c r="M78" i="43"/>
  <c r="N78" i="43"/>
  <c r="O78" i="43"/>
  <c r="P78" i="43"/>
  <c r="Q78" i="43"/>
  <c r="R78" i="43"/>
  <c r="S78" i="43"/>
  <c r="T78" i="43"/>
  <c r="U78" i="43"/>
  <c r="V78" i="43"/>
  <c r="W78" i="43"/>
  <c r="L79" i="43"/>
  <c r="M79" i="43"/>
  <c r="N79" i="43"/>
  <c r="O79" i="43"/>
  <c r="P79" i="43"/>
  <c r="Q79" i="43"/>
  <c r="R79" i="43"/>
  <c r="S79" i="43"/>
  <c r="T79" i="43"/>
  <c r="U79" i="43"/>
  <c r="V79" i="43"/>
  <c r="W79" i="43"/>
  <c r="L80" i="43"/>
  <c r="M80" i="43"/>
  <c r="N80" i="43"/>
  <c r="O80" i="43"/>
  <c r="P80" i="43"/>
  <c r="Q80" i="43"/>
  <c r="R80" i="43"/>
  <c r="S80" i="43"/>
  <c r="T80" i="43"/>
  <c r="U80" i="43"/>
  <c r="V80" i="43"/>
  <c r="W80" i="43"/>
  <c r="L81" i="43"/>
  <c r="M81" i="43"/>
  <c r="N81" i="43"/>
  <c r="O81" i="43"/>
  <c r="P81" i="43"/>
  <c r="Q81" i="43"/>
  <c r="R81" i="43"/>
  <c r="S81" i="43"/>
  <c r="T81" i="43"/>
  <c r="U81" i="43"/>
  <c r="V81" i="43"/>
  <c r="W81" i="43"/>
  <c r="L82" i="43"/>
  <c r="M82" i="43"/>
  <c r="N82" i="43"/>
  <c r="O82" i="43"/>
  <c r="P82" i="43"/>
  <c r="Q82" i="43"/>
  <c r="R82" i="43"/>
  <c r="S82" i="43"/>
  <c r="T82" i="43"/>
  <c r="U82" i="43"/>
  <c r="V82" i="43"/>
  <c r="W82" i="43"/>
  <c r="L83" i="43"/>
  <c r="M83" i="43"/>
  <c r="N83" i="43"/>
  <c r="O83" i="43"/>
  <c r="P83" i="43"/>
  <c r="Q83" i="43"/>
  <c r="R83" i="43"/>
  <c r="S83" i="43"/>
  <c r="T83" i="43"/>
  <c r="U83" i="43"/>
  <c r="V83" i="43"/>
  <c r="W83" i="43"/>
  <c r="L84" i="43"/>
  <c r="M84" i="43"/>
  <c r="N84" i="43"/>
  <c r="O84" i="43"/>
  <c r="P84" i="43"/>
  <c r="Q84" i="43"/>
  <c r="R84" i="43"/>
  <c r="S84" i="43"/>
  <c r="T84" i="43"/>
  <c r="U84" i="43"/>
  <c r="V84" i="43"/>
  <c r="W84" i="43"/>
  <c r="L85" i="43"/>
  <c r="M85" i="43"/>
  <c r="N85" i="43"/>
  <c r="O85" i="43"/>
  <c r="P85" i="43"/>
  <c r="Q85" i="43"/>
  <c r="R85" i="43"/>
  <c r="S85" i="43"/>
  <c r="T85" i="43"/>
  <c r="U85" i="43"/>
  <c r="V85" i="43"/>
  <c r="W85" i="43"/>
  <c r="L86" i="43"/>
  <c r="M86" i="43"/>
  <c r="N86" i="43"/>
  <c r="O86" i="43"/>
  <c r="P86" i="43"/>
  <c r="Q86" i="43"/>
  <c r="R86" i="43"/>
  <c r="S86" i="43"/>
  <c r="T86" i="43"/>
  <c r="U86" i="43"/>
  <c r="V86" i="43"/>
  <c r="W86" i="43"/>
  <c r="L87" i="43"/>
  <c r="M87" i="43"/>
  <c r="N87" i="43"/>
  <c r="O87" i="43"/>
  <c r="P87" i="43"/>
  <c r="Q87" i="43"/>
  <c r="R87" i="43"/>
  <c r="S87" i="43"/>
  <c r="T87" i="43"/>
  <c r="U87" i="43"/>
  <c r="V87" i="43"/>
  <c r="W87" i="43"/>
  <c r="L88" i="43"/>
  <c r="M88" i="43"/>
  <c r="N88" i="43"/>
  <c r="O88" i="43"/>
  <c r="P88" i="43"/>
  <c r="Q88" i="43"/>
  <c r="R88" i="43"/>
  <c r="S88" i="43"/>
  <c r="T88" i="43"/>
  <c r="U88" i="43"/>
  <c r="V88" i="43"/>
  <c r="W88" i="43"/>
  <c r="L89" i="43"/>
  <c r="M89" i="43"/>
  <c r="N89" i="43"/>
  <c r="O89" i="43"/>
  <c r="P89" i="43"/>
  <c r="Q89" i="43"/>
  <c r="R89" i="43"/>
  <c r="S89" i="43"/>
  <c r="T89" i="43"/>
  <c r="U89" i="43"/>
  <c r="V89" i="43"/>
  <c r="W89" i="43"/>
  <c r="L90" i="43"/>
  <c r="M90" i="43"/>
  <c r="N90" i="43"/>
  <c r="O90" i="43"/>
  <c r="P90" i="43"/>
  <c r="Q90" i="43"/>
  <c r="R90" i="43"/>
  <c r="S90" i="43"/>
  <c r="T90" i="43"/>
  <c r="U90" i="43"/>
  <c r="V90" i="43"/>
  <c r="W90" i="43"/>
  <c r="L91" i="43"/>
  <c r="M91" i="43"/>
  <c r="N91" i="43"/>
  <c r="O91" i="43"/>
  <c r="P91" i="43"/>
  <c r="Q91" i="43"/>
  <c r="R91" i="43"/>
  <c r="S91" i="43"/>
  <c r="T91" i="43"/>
  <c r="U91" i="43"/>
  <c r="V91" i="43"/>
  <c r="W91" i="43"/>
  <c r="L92" i="43"/>
  <c r="M92" i="43"/>
  <c r="N92" i="43"/>
  <c r="O92" i="43"/>
  <c r="P92" i="43"/>
  <c r="Q92" i="43"/>
  <c r="R92" i="43"/>
  <c r="S92" i="43"/>
  <c r="T92" i="43"/>
  <c r="U92" i="43"/>
  <c r="V92" i="43"/>
  <c r="W92" i="43"/>
  <c r="L93" i="43"/>
  <c r="M93" i="43"/>
  <c r="N93" i="43"/>
  <c r="O93" i="43"/>
  <c r="P93" i="43"/>
  <c r="Q93" i="43"/>
  <c r="R93" i="43"/>
  <c r="S93" i="43"/>
  <c r="T93" i="43"/>
  <c r="U93" i="43"/>
  <c r="V93" i="43"/>
  <c r="W93" i="43"/>
  <c r="L94" i="43"/>
  <c r="M94" i="43"/>
  <c r="N94" i="43"/>
  <c r="O94" i="43"/>
  <c r="P94" i="43"/>
  <c r="Q94" i="43"/>
  <c r="R94" i="43"/>
  <c r="S94" i="43"/>
  <c r="T94" i="43"/>
  <c r="U94" i="43"/>
  <c r="V94" i="43"/>
  <c r="W94" i="43"/>
  <c r="L95" i="43"/>
  <c r="M95" i="43"/>
  <c r="N95" i="43"/>
  <c r="O95" i="43"/>
  <c r="P95" i="43"/>
  <c r="Q95" i="43"/>
  <c r="R95" i="43"/>
  <c r="S95" i="43"/>
  <c r="T95" i="43"/>
  <c r="U95" i="43"/>
  <c r="V95" i="43"/>
  <c r="W95" i="43"/>
  <c r="L96" i="43"/>
  <c r="M96" i="43"/>
  <c r="N96" i="43"/>
  <c r="O96" i="43"/>
  <c r="P96" i="43"/>
  <c r="Q96" i="43"/>
  <c r="R96" i="43"/>
  <c r="S96" i="43"/>
  <c r="T96" i="43"/>
  <c r="U96" i="43"/>
  <c r="V96" i="43"/>
  <c r="W96" i="43"/>
  <c r="C5" i="48"/>
  <c r="D5" i="48"/>
  <c r="E5" i="48"/>
  <c r="F5" i="48"/>
  <c r="G5" i="48"/>
  <c r="C6" i="48"/>
  <c r="D6" i="48"/>
  <c r="E6" i="48"/>
  <c r="F6" i="48"/>
  <c r="G6" i="48"/>
  <c r="C7" i="48"/>
  <c r="D7" i="48"/>
  <c r="E7" i="48"/>
  <c r="F7" i="48"/>
  <c r="G7" i="48"/>
  <c r="C8" i="48"/>
  <c r="D8" i="48"/>
  <c r="E8" i="48"/>
  <c r="F8" i="48"/>
  <c r="G8" i="48"/>
  <c r="C9" i="48"/>
  <c r="D9" i="48"/>
  <c r="E9" i="48"/>
  <c r="F9" i="48"/>
  <c r="G9" i="48"/>
  <c r="C10" i="48"/>
  <c r="D10" i="48"/>
  <c r="E10" i="48"/>
  <c r="F10" i="48"/>
  <c r="G10" i="48"/>
  <c r="C11" i="48"/>
  <c r="D11" i="48"/>
  <c r="E11" i="48"/>
  <c r="F11" i="48"/>
  <c r="G11" i="48"/>
  <c r="C12" i="48"/>
  <c r="D12" i="48"/>
  <c r="E12" i="48"/>
  <c r="F12" i="48"/>
  <c r="G12" i="48"/>
  <c r="C13" i="48"/>
  <c r="D13" i="48"/>
  <c r="E13" i="48"/>
  <c r="F13" i="48"/>
  <c r="G13" i="48"/>
  <c r="C14" i="48"/>
  <c r="D14" i="48"/>
  <c r="E14" i="48"/>
  <c r="F14" i="48"/>
  <c r="G14" i="48"/>
  <c r="C15" i="48"/>
  <c r="D15" i="48"/>
  <c r="E15" i="48"/>
  <c r="F15" i="48"/>
  <c r="G15" i="48"/>
  <c r="C16" i="48"/>
  <c r="D16" i="48"/>
  <c r="E16" i="48"/>
  <c r="F16" i="48"/>
  <c r="G16" i="48"/>
  <c r="C17" i="48"/>
  <c r="D17" i="48"/>
  <c r="E17" i="48"/>
  <c r="F17" i="48"/>
  <c r="G17" i="48"/>
  <c r="C18" i="48"/>
  <c r="D18" i="48"/>
  <c r="E18" i="48"/>
  <c r="F18" i="48"/>
  <c r="G18" i="48"/>
  <c r="C19" i="48"/>
  <c r="D19" i="48"/>
  <c r="E19" i="48"/>
  <c r="F19" i="48"/>
  <c r="G19" i="48"/>
  <c r="C20" i="48"/>
  <c r="D20" i="48"/>
  <c r="E20" i="48"/>
  <c r="F20" i="48"/>
  <c r="G20" i="48"/>
  <c r="G4" i="48"/>
  <c r="F4" i="48"/>
  <c r="E4" i="48"/>
  <c r="D4" i="48"/>
  <c r="C4" i="48"/>
  <c r="F2" i="48"/>
  <c r="D2" i="48"/>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C11" i="49"/>
  <c r="D11" i="49"/>
  <c r="E11" i="49"/>
  <c r="F11" i="49"/>
  <c r="G11" i="49"/>
  <c r="C12" i="49"/>
  <c r="D12" i="49"/>
  <c r="E12" i="49"/>
  <c r="F12" i="49"/>
  <c r="G12" i="49"/>
  <c r="C13" i="49"/>
  <c r="D13" i="49"/>
  <c r="E13" i="49"/>
  <c r="F13" i="49"/>
  <c r="G13" i="49"/>
  <c r="C14" i="49"/>
  <c r="D14" i="49"/>
  <c r="E14" i="49"/>
  <c r="F14" i="49"/>
  <c r="G14" i="49"/>
  <c r="C15" i="49"/>
  <c r="D15" i="49"/>
  <c r="E15" i="49"/>
  <c r="F15" i="49"/>
  <c r="G15" i="49"/>
  <c r="C16" i="49"/>
  <c r="D16" i="49"/>
  <c r="E16" i="49"/>
  <c r="F16" i="49"/>
  <c r="G16" i="49"/>
  <c r="C17" i="49"/>
  <c r="D17" i="49"/>
  <c r="E17" i="49"/>
  <c r="F17" i="49"/>
  <c r="G17" i="49"/>
  <c r="C18" i="49"/>
  <c r="D18" i="49"/>
  <c r="E18" i="49"/>
  <c r="F18" i="49"/>
  <c r="G18" i="49"/>
  <c r="C19" i="49"/>
  <c r="D19" i="49"/>
  <c r="E19" i="49"/>
  <c r="F19" i="49"/>
  <c r="G19" i="49"/>
  <c r="C20" i="49"/>
  <c r="D20" i="49"/>
  <c r="E20" i="49"/>
  <c r="F20" i="49"/>
  <c r="G20" i="49"/>
  <c r="G4" i="49"/>
  <c r="F4" i="49"/>
  <c r="E4" i="49"/>
  <c r="D4" i="49"/>
  <c r="C4" i="49"/>
  <c r="F2" i="49"/>
  <c r="D2" i="49"/>
  <c r="F2" i="46"/>
  <c r="G5" i="47"/>
  <c r="G6" i="47"/>
  <c r="G7" i="47"/>
  <c r="G8" i="47"/>
  <c r="G9" i="47"/>
  <c r="G10" i="47"/>
  <c r="G11" i="47"/>
  <c r="G12" i="47"/>
  <c r="G13" i="47"/>
  <c r="G14" i="47"/>
  <c r="G15" i="47"/>
  <c r="G16" i="47"/>
  <c r="G17" i="47"/>
  <c r="G18" i="47"/>
  <c r="G19" i="47"/>
  <c r="G20" i="47"/>
  <c r="G4" i="47"/>
  <c r="F5" i="47"/>
  <c r="F6" i="47"/>
  <c r="F7" i="47"/>
  <c r="F8" i="47"/>
  <c r="F9" i="47"/>
  <c r="F10" i="47"/>
  <c r="F11" i="47"/>
  <c r="F12" i="47"/>
  <c r="F13" i="47"/>
  <c r="F14" i="47"/>
  <c r="F15" i="47"/>
  <c r="F16" i="47"/>
  <c r="F17" i="47"/>
  <c r="F18" i="47"/>
  <c r="F19" i="47"/>
  <c r="F20" i="47"/>
  <c r="F4" i="47"/>
  <c r="E5" i="47"/>
  <c r="E6" i="47"/>
  <c r="E7" i="47"/>
  <c r="E8" i="47"/>
  <c r="E9" i="47"/>
  <c r="E10" i="47"/>
  <c r="E11" i="47"/>
  <c r="E12" i="47"/>
  <c r="E13" i="47"/>
  <c r="E14" i="47"/>
  <c r="E15" i="47"/>
  <c r="E16" i="47"/>
  <c r="E17" i="47"/>
  <c r="E18" i="47"/>
  <c r="E19" i="47"/>
  <c r="E20" i="47"/>
  <c r="E4" i="47"/>
  <c r="D5" i="47"/>
  <c r="D6" i="47"/>
  <c r="D7" i="47"/>
  <c r="D8" i="47"/>
  <c r="D9" i="47"/>
  <c r="D10" i="47"/>
  <c r="D11" i="47"/>
  <c r="D12" i="47"/>
  <c r="D13" i="47"/>
  <c r="D14" i="47"/>
  <c r="D15" i="47"/>
  <c r="D16" i="47"/>
  <c r="D17" i="47"/>
  <c r="D18" i="47"/>
  <c r="D19" i="47"/>
  <c r="D20" i="47"/>
  <c r="D4" i="47"/>
  <c r="C5" i="47"/>
  <c r="C6" i="47"/>
  <c r="C7" i="47"/>
  <c r="C8" i="47"/>
  <c r="C9" i="47"/>
  <c r="C10" i="47"/>
  <c r="C11" i="47"/>
  <c r="C12" i="47"/>
  <c r="C13" i="47"/>
  <c r="C14" i="47"/>
  <c r="C15" i="47"/>
  <c r="C16" i="47"/>
  <c r="C17" i="47"/>
  <c r="C18" i="47"/>
  <c r="C19" i="47"/>
  <c r="C20" i="47"/>
  <c r="C4" i="47"/>
  <c r="F2" i="47"/>
  <c r="D2" i="47"/>
  <c r="BG14" i="43" l="1"/>
  <c r="B4" i="95" s="1"/>
  <c r="AM37" i="23"/>
  <c r="AU37" i="23"/>
  <c r="BF15" i="43"/>
  <c r="BT15" i="43"/>
  <c r="BU15" i="43" s="1"/>
  <c r="E49" i="43"/>
  <c r="A92" i="90"/>
  <c r="A93" i="93"/>
  <c r="A93" i="91"/>
  <c r="A92" i="92"/>
  <c r="A93" i="86"/>
  <c r="A92" i="83"/>
  <c r="A98" i="41"/>
  <c r="R64" i="41"/>
  <c r="Q64" i="41"/>
  <c r="P64" i="41"/>
  <c r="L64" i="41"/>
  <c r="J64" i="41"/>
  <c r="L60" i="83"/>
  <c r="Q60" i="83"/>
  <c r="R60" i="83"/>
  <c r="P60" i="83"/>
  <c r="R60" i="84"/>
  <c r="Q60" i="84"/>
  <c r="P60" i="84"/>
  <c r="R60" i="85"/>
  <c r="Q60" i="85"/>
  <c r="P60" i="85"/>
  <c r="P60" i="86"/>
  <c r="Q60" i="86"/>
  <c r="R60" i="86"/>
  <c r="R60" i="87"/>
  <c r="Q60" i="87"/>
  <c r="P60" i="87"/>
  <c r="R60" i="88"/>
  <c r="Q60" i="88"/>
  <c r="P60" i="88"/>
  <c r="Q60" i="89"/>
  <c r="R60" i="89"/>
  <c r="P60" i="89"/>
  <c r="R59" i="90"/>
  <c r="Q59" i="90"/>
  <c r="P59" i="90"/>
  <c r="R60" i="91"/>
  <c r="Q60" i="91"/>
  <c r="P60" i="91"/>
  <c r="R60" i="92"/>
  <c r="Q60" i="92"/>
  <c r="P60" i="92"/>
  <c r="R60" i="93"/>
  <c r="Q60" i="93"/>
  <c r="P60" i="93"/>
  <c r="L60" i="85"/>
  <c r="L60" i="92"/>
  <c r="L60" i="87"/>
  <c r="L60" i="86"/>
  <c r="L60" i="84"/>
  <c r="L60" i="93"/>
  <c r="L60" i="91"/>
  <c r="L59" i="90"/>
  <c r="L60" i="88"/>
  <c r="L60" i="89"/>
  <c r="J60" i="88"/>
  <c r="BC45" i="88"/>
  <c r="BB45" i="88"/>
  <c r="BA45" i="88"/>
  <c r="AZ45" i="88"/>
  <c r="AY45" i="88"/>
  <c r="AX45" i="88"/>
  <c r="AW45" i="88"/>
  <c r="AV45" i="88"/>
  <c r="AU45" i="88"/>
  <c r="AT45" i="88"/>
  <c r="AS45" i="88"/>
  <c r="AR45" i="88"/>
  <c r="AQ45" i="88"/>
  <c r="AP45" i="88"/>
  <c r="AO45" i="88"/>
  <c r="AN45" i="88"/>
  <c r="AM45" i="88"/>
  <c r="AL45" i="88"/>
  <c r="AK45" i="88"/>
  <c r="AJ45" i="88"/>
  <c r="BC51" i="43"/>
  <c r="BC52" i="43" s="1"/>
  <c r="BC48" i="43"/>
  <c r="BC49" i="43" s="1"/>
  <c r="BA51" i="43"/>
  <c r="BA48" i="43"/>
  <c r="AY51" i="43"/>
  <c r="AY48" i="43"/>
  <c r="AW51" i="43"/>
  <c r="AW48" i="43"/>
  <c r="AU51" i="43"/>
  <c r="AK51" i="43"/>
  <c r="AM51" i="43"/>
  <c r="AO51" i="43"/>
  <c r="AO52" i="43" s="1"/>
  <c r="AO48" i="43"/>
  <c r="AO49" i="43" s="1"/>
  <c r="AM48" i="43"/>
  <c r="AK48" i="43"/>
  <c r="AI51" i="43"/>
  <c r="AG51" i="43"/>
  <c r="Y51" i="43"/>
  <c r="W48" i="43"/>
  <c r="Y48" i="43"/>
  <c r="AA51" i="43"/>
  <c r="AA52" i="43" s="1"/>
  <c r="AA48" i="43"/>
  <c r="AA49" i="43" s="1"/>
  <c r="W51" i="43"/>
  <c r="U51" i="43"/>
  <c r="U48" i="43"/>
  <c r="S51" i="43"/>
  <c r="S48" i="43"/>
  <c r="BB51" i="43"/>
  <c r="BB52" i="43" s="1"/>
  <c r="AZ51" i="43"/>
  <c r="AZ52" i="43" s="1"/>
  <c r="AX51" i="43"/>
  <c r="AX52" i="43" s="1"/>
  <c r="AV51" i="43"/>
  <c r="AV52" i="43" s="1"/>
  <c r="BB48" i="43"/>
  <c r="BB49" i="43" s="1"/>
  <c r="AZ48" i="43"/>
  <c r="AZ49" i="43" s="1"/>
  <c r="AX48" i="43"/>
  <c r="AX49" i="43" s="1"/>
  <c r="AV48" i="43"/>
  <c r="AV49" i="43" s="1"/>
  <c r="AR14" i="43"/>
  <c r="AN51" i="43"/>
  <c r="AN52" i="43" s="1"/>
  <c r="AL51" i="43"/>
  <c r="AL52" i="43" s="1"/>
  <c r="AJ51" i="43"/>
  <c r="AJ52" i="43" s="1"/>
  <c r="AH51" i="43"/>
  <c r="AH52" i="43" s="1"/>
  <c r="AN48" i="43"/>
  <c r="AN49" i="43" s="1"/>
  <c r="AL48" i="43"/>
  <c r="AL49" i="43" s="1"/>
  <c r="AJ48" i="43"/>
  <c r="AJ49" i="43" s="1"/>
  <c r="AH48" i="43"/>
  <c r="AH49" i="43" s="1"/>
  <c r="AD14" i="43"/>
  <c r="Z51" i="43"/>
  <c r="Z52" i="43" s="1"/>
  <c r="X51" i="43"/>
  <c r="X52" i="43" s="1"/>
  <c r="V51" i="43"/>
  <c r="V52" i="43" s="1"/>
  <c r="T51" i="43"/>
  <c r="T52" i="43" s="1"/>
  <c r="Z48" i="43"/>
  <c r="Z49" i="43" s="1"/>
  <c r="X48" i="43"/>
  <c r="X49" i="43" s="1"/>
  <c r="V48" i="43"/>
  <c r="V49" i="43" s="1"/>
  <c r="T48" i="43"/>
  <c r="T49" i="43" s="1"/>
  <c r="P14" i="43"/>
  <c r="K51" i="43"/>
  <c r="M48" i="43"/>
  <c r="K48" i="43"/>
  <c r="I48" i="43"/>
  <c r="BQ16" i="93"/>
  <c r="BQ17" i="93"/>
  <c r="BQ18" i="93"/>
  <c r="BQ19" i="93"/>
  <c r="BQ20" i="93"/>
  <c r="BQ21" i="93"/>
  <c r="BQ22" i="93"/>
  <c r="BQ23" i="93"/>
  <c r="BQ24" i="93"/>
  <c r="BQ25" i="93"/>
  <c r="BQ26" i="93"/>
  <c r="BQ27" i="93"/>
  <c r="BQ28" i="93"/>
  <c r="BQ29" i="93"/>
  <c r="BQ30" i="93"/>
  <c r="BQ31" i="93"/>
  <c r="BQ32" i="93"/>
  <c r="BQ33" i="93"/>
  <c r="BQ34" i="93"/>
  <c r="BQ35" i="93"/>
  <c r="BQ36" i="93"/>
  <c r="BQ37" i="93"/>
  <c r="BQ38" i="93"/>
  <c r="BQ39" i="93"/>
  <c r="BQ40" i="93"/>
  <c r="BQ41" i="93"/>
  <c r="BQ42" i="93"/>
  <c r="BQ43" i="93"/>
  <c r="BQ44" i="93"/>
  <c r="BQ45" i="93"/>
  <c r="BQ15" i="93"/>
  <c r="Y16" i="93"/>
  <c r="Y17" i="93"/>
  <c r="Y18" i="93"/>
  <c r="Y19" i="93"/>
  <c r="Y20" i="93"/>
  <c r="Y21" i="93"/>
  <c r="Y22" i="93"/>
  <c r="Y23" i="93"/>
  <c r="Y24" i="93"/>
  <c r="Y25" i="93"/>
  <c r="Y26" i="93"/>
  <c r="Y27" i="93"/>
  <c r="Y28" i="93"/>
  <c r="Y29" i="93"/>
  <c r="Y30" i="93"/>
  <c r="Y31" i="93"/>
  <c r="Y32" i="93"/>
  <c r="Y33" i="93"/>
  <c r="Y34" i="93"/>
  <c r="Y35" i="93"/>
  <c r="Y36" i="93"/>
  <c r="Y37" i="93"/>
  <c r="Y38" i="93"/>
  <c r="Y39" i="93"/>
  <c r="Y40" i="93"/>
  <c r="Y41" i="93"/>
  <c r="Y42" i="93"/>
  <c r="Y43" i="93"/>
  <c r="Y44" i="93"/>
  <c r="Y45" i="93"/>
  <c r="Y15" i="93"/>
  <c r="Y16" i="92"/>
  <c r="Y17" i="92"/>
  <c r="Y18" i="92"/>
  <c r="Y19" i="92"/>
  <c r="Y20" i="92"/>
  <c r="Y21" i="92"/>
  <c r="Y22" i="92"/>
  <c r="Y23" i="92"/>
  <c r="Y24" i="92"/>
  <c r="Y25" i="92"/>
  <c r="Y26" i="92"/>
  <c r="Y27" i="92"/>
  <c r="Y28" i="92"/>
  <c r="Y29" i="92"/>
  <c r="Y30" i="92"/>
  <c r="Y31" i="92"/>
  <c r="Y32" i="92"/>
  <c r="Y33" i="92"/>
  <c r="Y34" i="92"/>
  <c r="Y35" i="92"/>
  <c r="Y36" i="92"/>
  <c r="Y37" i="92"/>
  <c r="Y38" i="92"/>
  <c r="Y39" i="92"/>
  <c r="Y40" i="92"/>
  <c r="Y41" i="92"/>
  <c r="Y42" i="92"/>
  <c r="Y43" i="92"/>
  <c r="Y44" i="92"/>
  <c r="Y15" i="92"/>
  <c r="BQ16" i="91"/>
  <c r="BQ17" i="91"/>
  <c r="BQ18" i="91"/>
  <c r="BQ19" i="91"/>
  <c r="BQ20" i="91"/>
  <c r="BQ21" i="91"/>
  <c r="BQ22" i="91"/>
  <c r="BQ23" i="91"/>
  <c r="BQ24" i="91"/>
  <c r="BQ25" i="91"/>
  <c r="BQ26" i="91"/>
  <c r="BQ27" i="91"/>
  <c r="BQ28" i="91"/>
  <c r="BQ29" i="91"/>
  <c r="BQ30" i="91"/>
  <c r="BQ31" i="91"/>
  <c r="BQ32" i="91"/>
  <c r="BQ33" i="91"/>
  <c r="BQ34" i="91"/>
  <c r="BQ35" i="91"/>
  <c r="BQ36" i="91"/>
  <c r="BQ37" i="91"/>
  <c r="BQ38" i="91"/>
  <c r="BQ39" i="91"/>
  <c r="BQ40" i="91"/>
  <c r="BQ41" i="91"/>
  <c r="BQ42" i="91"/>
  <c r="BQ43" i="91"/>
  <c r="BQ44" i="91"/>
  <c r="BQ45" i="91"/>
  <c r="BQ15" i="91"/>
  <c r="Y16" i="91"/>
  <c r="Y17" i="91"/>
  <c r="Y18" i="91"/>
  <c r="Y19" i="91"/>
  <c r="Y20" i="91"/>
  <c r="Y21" i="91"/>
  <c r="Y22" i="91"/>
  <c r="Y23" i="91"/>
  <c r="Y24" i="91"/>
  <c r="Y25" i="91"/>
  <c r="Y26" i="91"/>
  <c r="Y27" i="91"/>
  <c r="Y28" i="91"/>
  <c r="Y29" i="91"/>
  <c r="Y30" i="91"/>
  <c r="Y31" i="91"/>
  <c r="Y32" i="91"/>
  <c r="Y33" i="91"/>
  <c r="Y34" i="91"/>
  <c r="Y35" i="91"/>
  <c r="Y36" i="91"/>
  <c r="Y37" i="91"/>
  <c r="Y38" i="91"/>
  <c r="Y39" i="91"/>
  <c r="Y40" i="91"/>
  <c r="Y41" i="91"/>
  <c r="Y42" i="91"/>
  <c r="Y43" i="91"/>
  <c r="Y44" i="91"/>
  <c r="Y45" i="91"/>
  <c r="Y15" i="91"/>
  <c r="BQ16" i="90"/>
  <c r="BQ17" i="90"/>
  <c r="BQ18" i="90"/>
  <c r="BQ19" i="90"/>
  <c r="BQ20" i="90"/>
  <c r="BQ21" i="90"/>
  <c r="BQ22" i="90"/>
  <c r="BQ23" i="90"/>
  <c r="BQ24" i="90"/>
  <c r="BQ25" i="90"/>
  <c r="BQ26" i="90"/>
  <c r="BQ27" i="90"/>
  <c r="BQ28" i="90"/>
  <c r="BQ29" i="90"/>
  <c r="BQ30" i="90"/>
  <c r="BQ31" i="90"/>
  <c r="BQ32" i="90"/>
  <c r="BQ33" i="90"/>
  <c r="BQ34" i="90"/>
  <c r="BQ35" i="90"/>
  <c r="BQ36" i="90"/>
  <c r="BQ37" i="90"/>
  <c r="BQ38" i="90"/>
  <c r="BQ39" i="90"/>
  <c r="BQ40" i="90"/>
  <c r="BQ41" i="90"/>
  <c r="BQ42" i="90"/>
  <c r="BQ43" i="90"/>
  <c r="BQ44" i="90"/>
  <c r="BQ15" i="90"/>
  <c r="Y16" i="90"/>
  <c r="Y17" i="90"/>
  <c r="Y18" i="90"/>
  <c r="Y19" i="90"/>
  <c r="Y20" i="90"/>
  <c r="Y21" i="90"/>
  <c r="Y22" i="90"/>
  <c r="Y23" i="90"/>
  <c r="Y24" i="90"/>
  <c r="Y25" i="90"/>
  <c r="Y26" i="90"/>
  <c r="Y27" i="90"/>
  <c r="Y28" i="90"/>
  <c r="Y29" i="90"/>
  <c r="Y30" i="90"/>
  <c r="Y31" i="90"/>
  <c r="Y32" i="90"/>
  <c r="Y33" i="90"/>
  <c r="Y34" i="90"/>
  <c r="Y35" i="90"/>
  <c r="Y36" i="90"/>
  <c r="Y37" i="90"/>
  <c r="Y38" i="90"/>
  <c r="Y39" i="90"/>
  <c r="Y40" i="90"/>
  <c r="Y41" i="90"/>
  <c r="Y42" i="90"/>
  <c r="Y43" i="90"/>
  <c r="Y44" i="90"/>
  <c r="Y15" i="90"/>
  <c r="BQ16" i="89"/>
  <c r="BQ17" i="89"/>
  <c r="BQ18" i="89"/>
  <c r="BQ19" i="89"/>
  <c r="BQ20" i="89"/>
  <c r="BQ21" i="89"/>
  <c r="BQ22" i="89"/>
  <c r="BQ23" i="89"/>
  <c r="BQ24" i="89"/>
  <c r="BQ25" i="89"/>
  <c r="BQ26" i="89"/>
  <c r="BQ27" i="89"/>
  <c r="BQ28" i="89"/>
  <c r="BQ29" i="89"/>
  <c r="BQ30" i="89"/>
  <c r="BQ31" i="89"/>
  <c r="BQ32" i="89"/>
  <c r="BQ33" i="89"/>
  <c r="BQ34" i="89"/>
  <c r="BQ35" i="89"/>
  <c r="BQ36" i="89"/>
  <c r="BQ37" i="89"/>
  <c r="BQ38" i="89"/>
  <c r="BQ39" i="89"/>
  <c r="BQ40" i="89"/>
  <c r="BQ41" i="89"/>
  <c r="BQ42" i="89"/>
  <c r="BQ43" i="89"/>
  <c r="BQ44" i="89"/>
  <c r="BQ45" i="89"/>
  <c r="BQ15" i="89"/>
  <c r="Y16" i="89"/>
  <c r="Y17" i="89"/>
  <c r="Y18" i="89"/>
  <c r="Y19" i="89"/>
  <c r="Y20" i="89"/>
  <c r="Y21" i="89"/>
  <c r="Y22" i="89"/>
  <c r="Y23" i="89"/>
  <c r="Y24" i="89"/>
  <c r="Y25" i="89"/>
  <c r="Y26" i="89"/>
  <c r="Y27" i="89"/>
  <c r="Y28" i="89"/>
  <c r="Y29" i="89"/>
  <c r="Y30" i="89"/>
  <c r="Y31" i="89"/>
  <c r="Y32" i="89"/>
  <c r="Y33" i="89"/>
  <c r="Y34" i="89"/>
  <c r="Y35" i="89"/>
  <c r="Y36" i="89"/>
  <c r="Y37" i="89"/>
  <c r="Y38" i="89"/>
  <c r="Y39" i="89"/>
  <c r="Y40" i="89"/>
  <c r="Y41" i="89"/>
  <c r="Y42" i="89"/>
  <c r="Y43" i="89"/>
  <c r="Y44" i="89"/>
  <c r="Y45" i="89"/>
  <c r="Y15" i="89"/>
  <c r="BQ16" i="88"/>
  <c r="BQ17" i="88"/>
  <c r="BQ18" i="88"/>
  <c r="BQ19" i="88"/>
  <c r="BQ20" i="88"/>
  <c r="BQ21" i="88"/>
  <c r="BQ22" i="88"/>
  <c r="BQ23" i="88"/>
  <c r="BQ24" i="88"/>
  <c r="BQ25" i="88"/>
  <c r="BQ26" i="88"/>
  <c r="BQ27" i="88"/>
  <c r="BQ28" i="88"/>
  <c r="BQ29" i="88"/>
  <c r="BQ30" i="88"/>
  <c r="BQ31" i="88"/>
  <c r="BQ32" i="88"/>
  <c r="BQ33" i="88"/>
  <c r="BQ34" i="88"/>
  <c r="BQ35" i="88"/>
  <c r="BQ36" i="88"/>
  <c r="BQ37" i="88"/>
  <c r="BQ38" i="88"/>
  <c r="BQ39" i="88"/>
  <c r="BQ40" i="88"/>
  <c r="BQ41" i="88"/>
  <c r="BQ42" i="88"/>
  <c r="BQ43" i="88"/>
  <c r="BQ15" i="88"/>
  <c r="Y16" i="88"/>
  <c r="Y17" i="88"/>
  <c r="Y18" i="88"/>
  <c r="Y19" i="88"/>
  <c r="Y20" i="88"/>
  <c r="Y21" i="88"/>
  <c r="Y22" i="88"/>
  <c r="Y23" i="88"/>
  <c r="Y24" i="88"/>
  <c r="Y25" i="88"/>
  <c r="Y26" i="88"/>
  <c r="Y27" i="88"/>
  <c r="Y28" i="88"/>
  <c r="Y29" i="88"/>
  <c r="Y30" i="88"/>
  <c r="Y31" i="88"/>
  <c r="Y32" i="88"/>
  <c r="Y33" i="88"/>
  <c r="Y34" i="88"/>
  <c r="Y35" i="88"/>
  <c r="Y36" i="88"/>
  <c r="Y37" i="88"/>
  <c r="Y38" i="88"/>
  <c r="Y39" i="88"/>
  <c r="Y40" i="88"/>
  <c r="Y41" i="88"/>
  <c r="Y42" i="88"/>
  <c r="Y43" i="88"/>
  <c r="Y15" i="88"/>
  <c r="BQ16" i="87"/>
  <c r="BQ17" i="87"/>
  <c r="BQ18" i="87"/>
  <c r="BQ19" i="87"/>
  <c r="BQ20" i="87"/>
  <c r="BQ21" i="87"/>
  <c r="BQ22" i="87"/>
  <c r="BQ23" i="87"/>
  <c r="BQ24" i="87"/>
  <c r="BQ25" i="87"/>
  <c r="BQ26" i="87"/>
  <c r="BQ27" i="87"/>
  <c r="BQ28" i="87"/>
  <c r="BQ29" i="87"/>
  <c r="BQ30" i="87"/>
  <c r="BQ31" i="87"/>
  <c r="BQ32" i="87"/>
  <c r="BQ33" i="87"/>
  <c r="BQ34" i="87"/>
  <c r="BQ35" i="87"/>
  <c r="BQ36" i="87"/>
  <c r="BQ37" i="87"/>
  <c r="BQ38" i="87"/>
  <c r="BQ39" i="87"/>
  <c r="BQ40" i="87"/>
  <c r="BQ41" i="87"/>
  <c r="BQ42" i="87"/>
  <c r="BQ43" i="87"/>
  <c r="BQ44" i="87"/>
  <c r="BQ45" i="87"/>
  <c r="BQ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41" i="87"/>
  <c r="Y42" i="87"/>
  <c r="Y43" i="87"/>
  <c r="Y44" i="87"/>
  <c r="Y45" i="87"/>
  <c r="Y15" i="87"/>
  <c r="BQ16" i="86"/>
  <c r="BQ17" i="86"/>
  <c r="BQ18" i="86"/>
  <c r="BQ19" i="86"/>
  <c r="BQ20" i="86"/>
  <c r="BQ21" i="86"/>
  <c r="BQ22" i="86"/>
  <c r="BQ23" i="86"/>
  <c r="BQ24" i="86"/>
  <c r="BQ25" i="86"/>
  <c r="BQ26" i="86"/>
  <c r="BQ27" i="86"/>
  <c r="BQ28" i="86"/>
  <c r="BQ29" i="86"/>
  <c r="BQ30" i="86"/>
  <c r="BQ31" i="86"/>
  <c r="BQ32" i="86"/>
  <c r="BQ33" i="86"/>
  <c r="BQ34" i="86"/>
  <c r="BQ35" i="86"/>
  <c r="BQ36" i="86"/>
  <c r="BQ37" i="86"/>
  <c r="BQ38" i="86"/>
  <c r="BQ39" i="86"/>
  <c r="BQ40" i="86"/>
  <c r="BQ41" i="86"/>
  <c r="BQ42" i="86"/>
  <c r="BQ43" i="86"/>
  <c r="BQ44" i="86"/>
  <c r="BQ45" i="86"/>
  <c r="BQ15" i="86"/>
  <c r="Y16" i="86"/>
  <c r="Y17" i="86"/>
  <c r="Y18" i="86"/>
  <c r="Y19" i="86"/>
  <c r="Y20" i="86"/>
  <c r="Y21" i="86"/>
  <c r="Y22" i="86"/>
  <c r="Y23" i="86"/>
  <c r="Y24" i="86"/>
  <c r="Y25" i="86"/>
  <c r="Y26" i="86"/>
  <c r="Y27" i="86"/>
  <c r="Y28" i="86"/>
  <c r="Y29" i="86"/>
  <c r="Y30" i="86"/>
  <c r="Y31" i="86"/>
  <c r="Y32" i="86"/>
  <c r="Y33" i="86"/>
  <c r="Y34" i="86"/>
  <c r="Y35" i="86"/>
  <c r="Y36" i="86"/>
  <c r="Y37" i="86"/>
  <c r="Y38" i="86"/>
  <c r="Y39" i="86"/>
  <c r="Y40" i="86"/>
  <c r="Y41" i="86"/>
  <c r="Y42" i="86"/>
  <c r="Y43" i="86"/>
  <c r="Y44" i="86"/>
  <c r="Y45" i="86"/>
  <c r="Y15" i="86"/>
  <c r="Y16" i="85"/>
  <c r="Y17" i="85"/>
  <c r="Y18" i="85"/>
  <c r="Y19" i="85"/>
  <c r="Y20" i="85"/>
  <c r="Y21" i="85"/>
  <c r="Y22" i="85"/>
  <c r="Y23" i="85"/>
  <c r="Y24" i="85"/>
  <c r="Y25" i="85"/>
  <c r="Y26" i="85"/>
  <c r="Y27" i="85"/>
  <c r="Y28" i="85"/>
  <c r="Y29" i="85"/>
  <c r="Y30" i="85"/>
  <c r="Y31" i="85"/>
  <c r="Y32" i="85"/>
  <c r="Y33" i="85"/>
  <c r="Y34" i="85"/>
  <c r="Y35" i="85"/>
  <c r="Y36" i="85"/>
  <c r="Y37" i="85"/>
  <c r="Y38" i="85"/>
  <c r="Y39" i="85"/>
  <c r="Y40" i="85"/>
  <c r="Y41" i="85"/>
  <c r="Y42" i="85"/>
  <c r="Y43" i="85"/>
  <c r="Y44" i="85"/>
  <c r="Y15" i="85"/>
  <c r="BQ16" i="85"/>
  <c r="BQ17" i="85"/>
  <c r="BQ18" i="85"/>
  <c r="BQ19" i="85"/>
  <c r="BQ20" i="85"/>
  <c r="BQ21" i="85"/>
  <c r="BQ22" i="85"/>
  <c r="BQ23" i="85"/>
  <c r="BQ24" i="85"/>
  <c r="BQ25" i="85"/>
  <c r="BQ26" i="85"/>
  <c r="BQ27" i="85"/>
  <c r="BQ28" i="85"/>
  <c r="BQ29" i="85"/>
  <c r="BQ30" i="85"/>
  <c r="BQ31" i="85"/>
  <c r="BQ32" i="85"/>
  <c r="BQ33" i="85"/>
  <c r="BQ34" i="85"/>
  <c r="BQ35" i="85"/>
  <c r="BQ36" i="85"/>
  <c r="BQ37" i="85"/>
  <c r="BQ38" i="85"/>
  <c r="BQ39" i="85"/>
  <c r="BQ40" i="85"/>
  <c r="BQ41" i="85"/>
  <c r="BQ42" i="85"/>
  <c r="BQ43" i="85"/>
  <c r="BQ44" i="85"/>
  <c r="BQ15" i="85"/>
  <c r="BQ16" i="84"/>
  <c r="BQ17" i="84"/>
  <c r="BQ18" i="84"/>
  <c r="BQ19" i="84"/>
  <c r="BQ20" i="84"/>
  <c r="BQ21" i="84"/>
  <c r="BQ22" i="84"/>
  <c r="BQ23" i="84"/>
  <c r="BQ24" i="84"/>
  <c r="BQ25" i="84"/>
  <c r="BQ26" i="84"/>
  <c r="BQ27" i="84"/>
  <c r="BQ28" i="84"/>
  <c r="BQ29" i="84"/>
  <c r="BQ30" i="84"/>
  <c r="BQ31" i="84"/>
  <c r="BQ32" i="84"/>
  <c r="BQ33" i="84"/>
  <c r="BQ34" i="84"/>
  <c r="BQ35" i="84"/>
  <c r="BQ36" i="84"/>
  <c r="BQ37" i="84"/>
  <c r="BQ38" i="84"/>
  <c r="BQ39" i="84"/>
  <c r="BQ40" i="84"/>
  <c r="BQ41" i="84"/>
  <c r="BQ42" i="84"/>
  <c r="BQ43" i="84"/>
  <c r="BQ44" i="84"/>
  <c r="BQ45" i="84"/>
  <c r="BQ15" i="84"/>
  <c r="Y16" i="84"/>
  <c r="Y17" i="84"/>
  <c r="Y18" i="84"/>
  <c r="Y19" i="84"/>
  <c r="Y20" i="84"/>
  <c r="Y21" i="84"/>
  <c r="Y22" i="84"/>
  <c r="Y23" i="84"/>
  <c r="Y24" i="84"/>
  <c r="Y25" i="84"/>
  <c r="Y26" i="84"/>
  <c r="Y27" i="84"/>
  <c r="Y28" i="84"/>
  <c r="Y29" i="84"/>
  <c r="Y30" i="84"/>
  <c r="Y31" i="84"/>
  <c r="Y32" i="84"/>
  <c r="Y33" i="84"/>
  <c r="Y34" i="84"/>
  <c r="Y35" i="84"/>
  <c r="Y36" i="84"/>
  <c r="Y37" i="84"/>
  <c r="Y38" i="84"/>
  <c r="Y39" i="84"/>
  <c r="Y40" i="84"/>
  <c r="Y41" i="84"/>
  <c r="Y42" i="84"/>
  <c r="Y43" i="84"/>
  <c r="Y44" i="84"/>
  <c r="Y45" i="84"/>
  <c r="Y15" i="84"/>
  <c r="BQ16" i="83"/>
  <c r="BQ17" i="83"/>
  <c r="BQ18" i="83"/>
  <c r="BQ19" i="83"/>
  <c r="BQ20" i="83"/>
  <c r="BQ21" i="83"/>
  <c r="BQ22" i="83"/>
  <c r="BQ23" i="83"/>
  <c r="BQ24" i="83"/>
  <c r="BQ25" i="83"/>
  <c r="BQ26" i="83"/>
  <c r="BQ27" i="83"/>
  <c r="BQ28" i="83"/>
  <c r="BQ29" i="83"/>
  <c r="BQ30" i="83"/>
  <c r="BQ31" i="83"/>
  <c r="BQ32" i="83"/>
  <c r="BQ33" i="83"/>
  <c r="BQ34" i="83"/>
  <c r="BQ35" i="83"/>
  <c r="BQ36" i="83"/>
  <c r="BQ37" i="83"/>
  <c r="BQ38" i="83"/>
  <c r="BQ39" i="83"/>
  <c r="BQ40" i="83"/>
  <c r="BQ41" i="83"/>
  <c r="BQ42" i="83"/>
  <c r="BQ43" i="83"/>
  <c r="BQ44" i="83"/>
  <c r="BQ15" i="83"/>
  <c r="Y38" i="83"/>
  <c r="Y16" i="83"/>
  <c r="Y17" i="83"/>
  <c r="Y18" i="83"/>
  <c r="Y19" i="83"/>
  <c r="Y20" i="83"/>
  <c r="Y21" i="83"/>
  <c r="Y22" i="83"/>
  <c r="Y23" i="83"/>
  <c r="Y24" i="83"/>
  <c r="Y25" i="83"/>
  <c r="Y26" i="83"/>
  <c r="Y27" i="83"/>
  <c r="Y28" i="83"/>
  <c r="Y29" i="83"/>
  <c r="Y30" i="83"/>
  <c r="Y31" i="83"/>
  <c r="Y32" i="83"/>
  <c r="Y33" i="83"/>
  <c r="Y34" i="83"/>
  <c r="Y35" i="83"/>
  <c r="Y36" i="83"/>
  <c r="Y37" i="83"/>
  <c r="Y39" i="83"/>
  <c r="Y40" i="83"/>
  <c r="Y41" i="83"/>
  <c r="Y42" i="83"/>
  <c r="Y43" i="83"/>
  <c r="Y44" i="83"/>
  <c r="Y15" i="83"/>
  <c r="BQ21" i="41"/>
  <c r="BQ22" i="41"/>
  <c r="BQ23" i="41"/>
  <c r="BQ24" i="41"/>
  <c r="BQ25" i="41"/>
  <c r="BQ26" i="41"/>
  <c r="BQ27" i="41"/>
  <c r="BQ28" i="41"/>
  <c r="BQ29" i="41"/>
  <c r="BQ30" i="41"/>
  <c r="BQ31" i="41"/>
  <c r="BQ32" i="41"/>
  <c r="BQ33" i="41"/>
  <c r="BQ34" i="41"/>
  <c r="BQ35" i="41"/>
  <c r="BQ36" i="41"/>
  <c r="BQ37" i="41"/>
  <c r="BQ38" i="41"/>
  <c r="BQ39" i="41"/>
  <c r="BQ40" i="41"/>
  <c r="BQ41" i="41"/>
  <c r="BQ42" i="41"/>
  <c r="BQ43" i="41"/>
  <c r="BQ44" i="41"/>
  <c r="BQ45" i="41"/>
  <c r="BQ46" i="41"/>
  <c r="BQ47" i="41"/>
  <c r="BQ48" i="41"/>
  <c r="BQ49" i="41"/>
  <c r="BQ50" i="41"/>
  <c r="Y21" i="41"/>
  <c r="Y22" i="41"/>
  <c r="Y23" i="41"/>
  <c r="Y24" i="41"/>
  <c r="Y25" i="41"/>
  <c r="Y26" i="41"/>
  <c r="Y27" i="41"/>
  <c r="Y28" i="41"/>
  <c r="Y29" i="41"/>
  <c r="Y30" i="41"/>
  <c r="Y31" i="41"/>
  <c r="Y32" i="41"/>
  <c r="Y33" i="41"/>
  <c r="Y34" i="41"/>
  <c r="Y35" i="41"/>
  <c r="Y36" i="41"/>
  <c r="Y37" i="41"/>
  <c r="Y38" i="41"/>
  <c r="Y39" i="41"/>
  <c r="Y40" i="41"/>
  <c r="Y41" i="41"/>
  <c r="Y42" i="41"/>
  <c r="Y43" i="41"/>
  <c r="Y44" i="41"/>
  <c r="Y45" i="41"/>
  <c r="Y46" i="41"/>
  <c r="Y47" i="41"/>
  <c r="Y48" i="41"/>
  <c r="Y49" i="41"/>
  <c r="Y50" i="41"/>
  <c r="Y20" i="41"/>
  <c r="D67" i="93"/>
  <c r="D66" i="92"/>
  <c r="D67" i="91"/>
  <c r="D66" i="90"/>
  <c r="D67" i="89"/>
  <c r="D65" i="88"/>
  <c r="D67" i="87"/>
  <c r="D67" i="86"/>
  <c r="D66" i="85"/>
  <c r="D67" i="84"/>
  <c r="D66" i="83"/>
  <c r="D72" i="41"/>
  <c r="I12" i="93"/>
  <c r="I10" i="93"/>
  <c r="I12" i="92"/>
  <c r="I10" i="92"/>
  <c r="I12" i="91"/>
  <c r="I10" i="91"/>
  <c r="I12" i="90"/>
  <c r="I10" i="90"/>
  <c r="I12" i="89"/>
  <c r="I10" i="89"/>
  <c r="I12" i="88"/>
  <c r="I10" i="88"/>
  <c r="I12" i="87"/>
  <c r="I10" i="87"/>
  <c r="I12" i="86"/>
  <c r="I10" i="86"/>
  <c r="I12" i="85"/>
  <c r="I10" i="85"/>
  <c r="I12" i="84"/>
  <c r="I10" i="84"/>
  <c r="I12" i="83"/>
  <c r="I10" i="83"/>
  <c r="Y52" i="43" l="1"/>
  <c r="K49" i="43"/>
  <c r="Y49" i="43"/>
  <c r="BA52" i="43"/>
  <c r="AM52" i="43"/>
  <c r="AM49" i="43"/>
  <c r="BG15" i="43"/>
  <c r="A5" i="95"/>
  <c r="B5" i="96"/>
  <c r="BT16" i="43"/>
  <c r="BU16" i="43" s="1"/>
  <c r="K52" i="43"/>
  <c r="AE14" i="43"/>
  <c r="A4" i="49"/>
  <c r="AS14" i="43"/>
  <c r="A4" i="48"/>
  <c r="Q14" i="43"/>
  <c r="A4" i="47"/>
  <c r="AY52" i="43"/>
  <c r="AK52" i="43"/>
  <c r="AI52" i="43"/>
  <c r="AU49" i="43"/>
  <c r="AK49" i="43"/>
  <c r="AU52" i="43"/>
  <c r="AW49" i="43"/>
  <c r="AW52" i="43"/>
  <c r="S49" i="43"/>
  <c r="W49" i="43"/>
  <c r="AY49" i="43"/>
  <c r="AG52" i="43"/>
  <c r="AG48" i="43"/>
  <c r="W52" i="43"/>
  <c r="BA49" i="43"/>
  <c r="AI48" i="43"/>
  <c r="U49" i="43"/>
  <c r="U52" i="43"/>
  <c r="S52" i="43"/>
  <c r="H5" i="94"/>
  <c r="H6" i="94"/>
  <c r="H7" i="94"/>
  <c r="H8" i="94"/>
  <c r="H9" i="94"/>
  <c r="H10" i="94"/>
  <c r="H11" i="94"/>
  <c r="H12" i="94"/>
  <c r="H13" i="94"/>
  <c r="H14" i="94"/>
  <c r="H15" i="94"/>
  <c r="H16" i="94"/>
  <c r="H4" i="94"/>
  <c r="G5" i="94"/>
  <c r="G6" i="94"/>
  <c r="G7" i="94"/>
  <c r="G8" i="94"/>
  <c r="G9" i="94"/>
  <c r="G10" i="94"/>
  <c r="G11" i="94"/>
  <c r="G12" i="94"/>
  <c r="G13" i="94"/>
  <c r="G14" i="94"/>
  <c r="G15" i="94"/>
  <c r="G16" i="94"/>
  <c r="G4" i="94"/>
  <c r="F5" i="94"/>
  <c r="F6" i="94"/>
  <c r="F7" i="94"/>
  <c r="F8" i="94"/>
  <c r="F9" i="94"/>
  <c r="F10" i="94"/>
  <c r="F11" i="94"/>
  <c r="F12" i="94"/>
  <c r="F13" i="94"/>
  <c r="F14" i="94"/>
  <c r="F15" i="94"/>
  <c r="F16" i="94"/>
  <c r="F4" i="94"/>
  <c r="E5" i="94"/>
  <c r="E6" i="94"/>
  <c r="E7" i="94"/>
  <c r="E8" i="94"/>
  <c r="E9" i="94"/>
  <c r="E10" i="94"/>
  <c r="E11" i="94"/>
  <c r="E12" i="94"/>
  <c r="E13" i="94"/>
  <c r="E14" i="94"/>
  <c r="E15" i="94"/>
  <c r="E16" i="94"/>
  <c r="E4" i="94"/>
  <c r="D5" i="94"/>
  <c r="D6" i="94"/>
  <c r="D7" i="94"/>
  <c r="D8" i="94"/>
  <c r="D9" i="94"/>
  <c r="D10" i="94"/>
  <c r="D11" i="94"/>
  <c r="D12" i="94"/>
  <c r="D13" i="94"/>
  <c r="D14" i="94"/>
  <c r="D15" i="94"/>
  <c r="D16" i="94"/>
  <c r="D4" i="94"/>
  <c r="C10" i="94"/>
  <c r="C11" i="94"/>
  <c r="C12" i="94"/>
  <c r="C13" i="94"/>
  <c r="C14" i="94"/>
  <c r="C15" i="94"/>
  <c r="C16" i="94"/>
  <c r="C9" i="94"/>
  <c r="C8" i="94"/>
  <c r="C7" i="94"/>
  <c r="C6" i="94"/>
  <c r="C5" i="94"/>
  <c r="C4" i="94"/>
  <c r="J60" i="93"/>
  <c r="J60" i="92"/>
  <c r="J60" i="91"/>
  <c r="J59" i="90"/>
  <c r="J60" i="89"/>
  <c r="J60" i="87"/>
  <c r="J60" i="86"/>
  <c r="J60" i="85"/>
  <c r="J60" i="84"/>
  <c r="J60" i="83"/>
  <c r="B5" i="95" l="1"/>
  <c r="BF16" i="43"/>
  <c r="B6" i="96"/>
  <c r="BT17" i="43"/>
  <c r="BU17" i="43" s="1"/>
  <c r="AR15" i="43"/>
  <c r="B4" i="48"/>
  <c r="AD15" i="43"/>
  <c r="B4" i="49"/>
  <c r="P15" i="43"/>
  <c r="B4" i="47"/>
  <c r="AI49" i="43"/>
  <c r="AG49" i="43"/>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 i="25"/>
  <c r="W4" i="25"/>
  <c r="W5"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 i="25"/>
  <c r="R4"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 i="25"/>
  <c r="M4" i="25"/>
  <c r="M5"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AU4" i="23"/>
  <c r="AU5" i="23"/>
  <c r="AU6" i="23"/>
  <c r="AU7" i="23"/>
  <c r="AU8" i="23"/>
  <c r="AU9" i="23"/>
  <c r="AU10" i="23"/>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 i="23"/>
  <c r="AQ4" i="23"/>
  <c r="AQ5" i="23"/>
  <c r="AQ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 i="23"/>
  <c r="AM4" i="23"/>
  <c r="AM5" i="23"/>
  <c r="AM6"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 i="23"/>
  <c r="AI4" i="23"/>
  <c r="AI5" i="23"/>
  <c r="AI6" i="23"/>
  <c r="AI7" i="23"/>
  <c r="AI8" i="23"/>
  <c r="AI9" i="23"/>
  <c r="AI10" i="23"/>
  <c r="AI11" i="23"/>
  <c r="AI12" i="23"/>
  <c r="AI13" i="23"/>
  <c r="AI14" i="23"/>
  <c r="AI15" i="23"/>
  <c r="AI16" i="23"/>
  <c r="AI17" i="23"/>
  <c r="AI18" i="23"/>
  <c r="AI19" i="23"/>
  <c r="AI20" i="23"/>
  <c r="AI21" i="23"/>
  <c r="AI22" i="23"/>
  <c r="AI23" i="23"/>
  <c r="AI24" i="23"/>
  <c r="AI25" i="23"/>
  <c r="AI26" i="23"/>
  <c r="AI27" i="23"/>
  <c r="AI28" i="23"/>
  <c r="AI29" i="23"/>
  <c r="AI30" i="23"/>
  <c r="AI31" i="23"/>
  <c r="AI32" i="23"/>
  <c r="AI3" i="23"/>
  <c r="AE4" i="23"/>
  <c r="AE5" i="23"/>
  <c r="AE6" i="23"/>
  <c r="AE7"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 i="23"/>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A6" i="95" l="1"/>
  <c r="BG16" i="43"/>
  <c r="B7" i="96"/>
  <c r="BT18" i="43"/>
  <c r="BU18" i="43" s="1"/>
  <c r="AE15" i="43"/>
  <c r="A5" i="49"/>
  <c r="AS15" i="43"/>
  <c r="A5" i="48"/>
  <c r="Q15" i="43"/>
  <c r="A5" i="47"/>
  <c r="J59" i="1"/>
  <c r="H59" i="1"/>
  <c r="B59" i="1"/>
  <c r="B6" i="95" l="1"/>
  <c r="BF17" i="43"/>
  <c r="B8" i="96"/>
  <c r="BT19" i="43"/>
  <c r="BU19" i="43" s="1"/>
  <c r="AR16" i="43"/>
  <c r="B5" i="48"/>
  <c r="AD16" i="43"/>
  <c r="B5" i="49"/>
  <c r="P16" i="43"/>
  <c r="B5" i="47"/>
  <c r="D2" i="94"/>
  <c r="A7" i="95" l="1"/>
  <c r="BG17" i="43"/>
  <c r="B9" i="96"/>
  <c r="BT20" i="43"/>
  <c r="BU20" i="43" s="1"/>
  <c r="AE16" i="43"/>
  <c r="A6" i="49"/>
  <c r="AS16" i="43"/>
  <c r="A6" i="48"/>
  <c r="Q16" i="43"/>
  <c r="A6" i="47"/>
  <c r="B7" i="95" l="1"/>
  <c r="BF18" i="43"/>
  <c r="B10" i="96"/>
  <c r="BT21" i="43"/>
  <c r="BU21" i="43" s="1"/>
  <c r="AD17" i="43"/>
  <c r="B6" i="49"/>
  <c r="AR17" i="43"/>
  <c r="B6" i="48"/>
  <c r="P17" i="43"/>
  <c r="B6" i="47"/>
  <c r="O44" i="88"/>
  <c r="O46" i="93"/>
  <c r="O46" i="91"/>
  <c r="O46" i="89"/>
  <c r="O46" i="87"/>
  <c r="O46" i="86"/>
  <c r="O46" i="84"/>
  <c r="O45" i="92"/>
  <c r="O45" i="90"/>
  <c r="O45" i="85"/>
  <c r="O45" i="83"/>
  <c r="O51" i="41"/>
  <c r="A8" i="95" l="1"/>
  <c r="BG18" i="43"/>
  <c r="B11" i="96"/>
  <c r="BT22" i="43"/>
  <c r="BU22" i="43" s="1"/>
  <c r="AS17" i="43"/>
  <c r="A7" i="48"/>
  <c r="AE17" i="43"/>
  <c r="A7" i="49"/>
  <c r="Q17" i="43"/>
  <c r="A7" i="47"/>
  <c r="B8" i="95" l="1"/>
  <c r="BF19" i="43"/>
  <c r="B12" i="96"/>
  <c r="BT23" i="43"/>
  <c r="BU23" i="43" s="1"/>
  <c r="AR18" i="43"/>
  <c r="B7" i="48"/>
  <c r="AD18" i="43"/>
  <c r="B7" i="49"/>
  <c r="P18" i="43"/>
  <c r="B7" i="47"/>
  <c r="G21" i="50"/>
  <c r="G20" i="50"/>
  <c r="G19" i="50"/>
  <c r="G18" i="50"/>
  <c r="BG19" i="43" l="1"/>
  <c r="A9" i="95"/>
  <c r="B13" i="96"/>
  <c r="BT24" i="43"/>
  <c r="BU24" i="43" s="1"/>
  <c r="AE18" i="43"/>
  <c r="A8" i="49"/>
  <c r="AS18" i="43"/>
  <c r="A8" i="48"/>
  <c r="Q18" i="43"/>
  <c r="A8" i="47"/>
  <c r="G17" i="50"/>
  <c r="G16" i="50"/>
  <c r="G15" i="50"/>
  <c r="G14" i="50"/>
  <c r="G13" i="50"/>
  <c r="G12" i="50"/>
  <c r="G11" i="50"/>
  <c r="G10" i="50"/>
  <c r="F10" i="50"/>
  <c r="BF20" i="43" l="1"/>
  <c r="B9" i="95"/>
  <c r="B14" i="96"/>
  <c r="BT25" i="43"/>
  <c r="BU25" i="43" s="1"/>
  <c r="AR19" i="43"/>
  <c r="B8" i="48"/>
  <c r="AD19" i="43"/>
  <c r="B8" i="49"/>
  <c r="P19" i="43"/>
  <c r="B8" i="47"/>
  <c r="U57" i="91"/>
  <c r="U48" i="92" s="1"/>
  <c r="F19" i="50"/>
  <c r="A10" i="95" l="1"/>
  <c r="BG20" i="43"/>
  <c r="B15" i="96"/>
  <c r="BT26" i="43"/>
  <c r="BU26" i="43" s="1"/>
  <c r="AE19" i="43"/>
  <c r="A9" i="49"/>
  <c r="AS19" i="43"/>
  <c r="A9" i="48"/>
  <c r="Q19" i="43"/>
  <c r="A9" i="47"/>
  <c r="F20" i="50"/>
  <c r="U56" i="92"/>
  <c r="U49" i="93" s="1"/>
  <c r="B10" i="95" l="1"/>
  <c r="BF21" i="43"/>
  <c r="B16" i="96"/>
  <c r="BT27" i="43"/>
  <c r="BU27" i="43" s="1"/>
  <c r="AR20" i="43"/>
  <c r="B9" i="48"/>
  <c r="AD20" i="43"/>
  <c r="B9" i="49"/>
  <c r="P20" i="43"/>
  <c r="B9" i="47"/>
  <c r="F21" i="50"/>
  <c r="U57" i="93"/>
  <c r="A11" i="95" l="1"/>
  <c r="BG21" i="43"/>
  <c r="B17" i="96"/>
  <c r="BT28" i="43"/>
  <c r="BU28" i="43" s="1"/>
  <c r="AE20" i="43"/>
  <c r="A10" i="49"/>
  <c r="AS20" i="43"/>
  <c r="A10" i="48"/>
  <c r="Q20" i="43"/>
  <c r="A10" i="47"/>
  <c r="U44" i="88"/>
  <c r="T44" i="88"/>
  <c r="S44" i="88"/>
  <c r="M44" i="88"/>
  <c r="D81" i="92"/>
  <c r="H50" i="92" s="1"/>
  <c r="I50" i="92" s="1"/>
  <c r="D80" i="92"/>
  <c r="D79" i="92"/>
  <c r="D78" i="92"/>
  <c r="D77" i="92"/>
  <c r="D76" i="92"/>
  <c r="H49" i="92" s="1"/>
  <c r="I49" i="92" s="1"/>
  <c r="D75" i="92"/>
  <c r="D74" i="92"/>
  <c r="D73" i="92"/>
  <c r="D72" i="92"/>
  <c r="D71" i="92"/>
  <c r="D70" i="92"/>
  <c r="D69" i="92"/>
  <c r="D68" i="92"/>
  <c r="D67" i="92"/>
  <c r="D65" i="92"/>
  <c r="D62" i="92"/>
  <c r="D61" i="92"/>
  <c r="D60" i="92"/>
  <c r="D59" i="92"/>
  <c r="D81" i="90"/>
  <c r="H50" i="90" s="1"/>
  <c r="D80" i="90"/>
  <c r="D79" i="90"/>
  <c r="D78" i="90"/>
  <c r="D77" i="90"/>
  <c r="D76" i="90"/>
  <c r="H49" i="90" s="1"/>
  <c r="I49" i="90" s="1"/>
  <c r="D75" i="90"/>
  <c r="D74" i="90"/>
  <c r="D73" i="90"/>
  <c r="D72" i="90"/>
  <c r="D71" i="90"/>
  <c r="D70" i="90"/>
  <c r="D69" i="90"/>
  <c r="D68" i="90"/>
  <c r="D67" i="90"/>
  <c r="D65" i="90"/>
  <c r="D62" i="90"/>
  <c r="D61" i="90"/>
  <c r="D60" i="90"/>
  <c r="D59" i="90"/>
  <c r="D80" i="88"/>
  <c r="H49" i="88" s="1"/>
  <c r="D79" i="88"/>
  <c r="D78" i="88"/>
  <c r="D77" i="88"/>
  <c r="D76" i="88"/>
  <c r="D75" i="88"/>
  <c r="D74" i="88"/>
  <c r="D73" i="88"/>
  <c r="D72" i="88"/>
  <c r="D71" i="88"/>
  <c r="D70" i="88"/>
  <c r="D69" i="88"/>
  <c r="D68" i="88"/>
  <c r="D67" i="88"/>
  <c r="D66" i="88"/>
  <c r="D64" i="88"/>
  <c r="D61" i="88"/>
  <c r="D60" i="88"/>
  <c r="D59" i="88"/>
  <c r="D58" i="88"/>
  <c r="D82" i="93"/>
  <c r="H51" i="93" s="1"/>
  <c r="D81" i="93"/>
  <c r="D80" i="93"/>
  <c r="D79" i="93"/>
  <c r="D78" i="93"/>
  <c r="D77" i="93"/>
  <c r="H50" i="93" s="1"/>
  <c r="I50" i="93" s="1"/>
  <c r="D76" i="93"/>
  <c r="D75" i="93"/>
  <c r="D74" i="93"/>
  <c r="D73" i="93"/>
  <c r="D72" i="93"/>
  <c r="D71" i="93"/>
  <c r="D70" i="93"/>
  <c r="D69" i="93"/>
  <c r="D68" i="93"/>
  <c r="D66" i="93"/>
  <c r="D63" i="93"/>
  <c r="D62" i="93"/>
  <c r="D61" i="93"/>
  <c r="D60" i="93"/>
  <c r="D82" i="91"/>
  <c r="H51" i="91" s="1"/>
  <c r="D81" i="91"/>
  <c r="D80" i="91"/>
  <c r="D79" i="91"/>
  <c r="D78" i="91"/>
  <c r="D77" i="91"/>
  <c r="H50" i="91" s="1"/>
  <c r="I50" i="91" s="1"/>
  <c r="D76" i="91"/>
  <c r="D75" i="91"/>
  <c r="D74" i="91"/>
  <c r="D73" i="91"/>
  <c r="D72" i="91"/>
  <c r="D71" i="91"/>
  <c r="D70" i="91"/>
  <c r="D69" i="91"/>
  <c r="D68" i="91"/>
  <c r="D66" i="91"/>
  <c r="D63" i="91"/>
  <c r="D62" i="91"/>
  <c r="D61" i="91"/>
  <c r="D60" i="91"/>
  <c r="D82" i="89"/>
  <c r="H51" i="89" s="1"/>
  <c r="D81" i="89"/>
  <c r="D80" i="89"/>
  <c r="D79" i="89"/>
  <c r="D78" i="89"/>
  <c r="D77" i="89"/>
  <c r="H50" i="89" s="1"/>
  <c r="I50" i="89" s="1"/>
  <c r="D76" i="89"/>
  <c r="D75" i="89"/>
  <c r="D74" i="89"/>
  <c r="D73" i="89"/>
  <c r="D72" i="89"/>
  <c r="D71" i="89"/>
  <c r="D70" i="89"/>
  <c r="D69" i="89"/>
  <c r="D68" i="89"/>
  <c r="D66" i="89"/>
  <c r="D63" i="89"/>
  <c r="D62" i="89"/>
  <c r="D61" i="89"/>
  <c r="D60" i="89"/>
  <c r="D82" i="87"/>
  <c r="H51" i="87" s="1"/>
  <c r="I51" i="87" s="1"/>
  <c r="D81" i="87"/>
  <c r="D80" i="87"/>
  <c r="D79" i="87"/>
  <c r="D78" i="87"/>
  <c r="D77" i="87"/>
  <c r="H50" i="87" s="1"/>
  <c r="I50" i="87" s="1"/>
  <c r="D76" i="87"/>
  <c r="D75" i="87"/>
  <c r="D74" i="87"/>
  <c r="D73" i="87"/>
  <c r="D72" i="87"/>
  <c r="D71" i="87"/>
  <c r="D70" i="87"/>
  <c r="D69" i="87"/>
  <c r="D68" i="87"/>
  <c r="D66" i="87"/>
  <c r="D63" i="87"/>
  <c r="D62" i="87"/>
  <c r="D61" i="87"/>
  <c r="D60" i="87"/>
  <c r="D82" i="86"/>
  <c r="H51" i="86" s="1"/>
  <c r="D81" i="86"/>
  <c r="D80" i="86"/>
  <c r="D79" i="86"/>
  <c r="D78" i="86"/>
  <c r="D77" i="86"/>
  <c r="H50" i="86" s="1"/>
  <c r="I50" i="86" s="1"/>
  <c r="D76" i="86"/>
  <c r="D75" i="86"/>
  <c r="D74" i="86"/>
  <c r="D73" i="86"/>
  <c r="D72" i="86"/>
  <c r="D71" i="86"/>
  <c r="D70" i="86"/>
  <c r="D69" i="86"/>
  <c r="D68" i="86"/>
  <c r="D66" i="86"/>
  <c r="D63" i="86"/>
  <c r="D62" i="86"/>
  <c r="D61" i="86"/>
  <c r="D60" i="86"/>
  <c r="D81" i="85"/>
  <c r="H50" i="85" s="1"/>
  <c r="D80" i="85"/>
  <c r="D79" i="85"/>
  <c r="D78" i="85"/>
  <c r="D77" i="85"/>
  <c r="D76" i="85"/>
  <c r="H49" i="85" s="1"/>
  <c r="I49" i="85" s="1"/>
  <c r="D75" i="85"/>
  <c r="D74" i="85"/>
  <c r="D73" i="85"/>
  <c r="D72" i="85"/>
  <c r="D71" i="85"/>
  <c r="D70" i="85"/>
  <c r="D69" i="85"/>
  <c r="D68" i="85"/>
  <c r="D67" i="85"/>
  <c r="D65" i="85"/>
  <c r="D62" i="85"/>
  <c r="D61" i="85"/>
  <c r="D60" i="85"/>
  <c r="D59" i="85"/>
  <c r="D74" i="84"/>
  <c r="D82" i="84"/>
  <c r="H51" i="84" s="1"/>
  <c r="I51" i="84" s="1"/>
  <c r="D81" i="84"/>
  <c r="D80" i="84"/>
  <c r="D79" i="84"/>
  <c r="D78" i="84"/>
  <c r="D77" i="84"/>
  <c r="H50" i="84" s="1"/>
  <c r="I50" i="84" s="1"/>
  <c r="D76" i="84"/>
  <c r="D75" i="84"/>
  <c r="D73" i="84"/>
  <c r="D72" i="84"/>
  <c r="D71" i="84"/>
  <c r="D70" i="84"/>
  <c r="D69" i="84"/>
  <c r="D68" i="84"/>
  <c r="D66" i="84"/>
  <c r="D63" i="84"/>
  <c r="D62" i="84"/>
  <c r="D61" i="84"/>
  <c r="D60" i="84"/>
  <c r="M45" i="85"/>
  <c r="S45" i="85"/>
  <c r="S46" i="84"/>
  <c r="M46" i="84"/>
  <c r="A12" i="93"/>
  <c r="A12" i="92"/>
  <c r="A12" i="91"/>
  <c r="A12" i="90"/>
  <c r="A12" i="89"/>
  <c r="A12" i="88"/>
  <c r="A11" i="87"/>
  <c r="AW85" i="93"/>
  <c r="CN85" i="93" s="1"/>
  <c r="AW84" i="93"/>
  <c r="CN84" i="93" s="1"/>
  <c r="AW83" i="93"/>
  <c r="CN83" i="93" s="1"/>
  <c r="AW82" i="93"/>
  <c r="CN82" i="93" s="1"/>
  <c r="A57" i="93"/>
  <c r="A53" i="93"/>
  <c r="A52" i="93"/>
  <c r="A51" i="93"/>
  <c r="A50" i="93"/>
  <c r="A48" i="93"/>
  <c r="DK46" i="93"/>
  <c r="DJ46" i="93"/>
  <c r="U46" i="93"/>
  <c r="T46" i="93"/>
  <c r="S46" i="93"/>
  <c r="M46" i="93"/>
  <c r="DH45" i="93"/>
  <c r="DK45" i="93" s="1"/>
  <c r="DG45" i="93"/>
  <c r="DJ45" i="93" s="1"/>
  <c r="DF45" i="93"/>
  <c r="DI45" i="93" s="1"/>
  <c r="BZ45" i="93"/>
  <c r="BY45" i="93"/>
  <c r="BX45" i="93"/>
  <c r="BW45" i="93"/>
  <c r="BV45" i="93"/>
  <c r="BU45" i="93"/>
  <c r="BT45" i="93"/>
  <c r="BS45" i="93"/>
  <c r="BR45" i="93"/>
  <c r="BP45" i="93"/>
  <c r="AI45" i="93"/>
  <c r="AH45" i="93"/>
  <c r="AG45" i="93"/>
  <c r="AF45" i="93"/>
  <c r="AE45" i="93"/>
  <c r="AD45" i="93"/>
  <c r="AC45" i="93"/>
  <c r="AB45" i="93"/>
  <c r="AA45" i="93"/>
  <c r="Z45" i="93"/>
  <c r="X45" i="93"/>
  <c r="W45" i="93"/>
  <c r="V45" i="93"/>
  <c r="DH44" i="93"/>
  <c r="DK44" i="93" s="1"/>
  <c r="DG44" i="93"/>
  <c r="DJ44" i="93" s="1"/>
  <c r="DF44" i="93"/>
  <c r="DI44" i="93" s="1"/>
  <c r="BZ44" i="93"/>
  <c r="BY44" i="93"/>
  <c r="BX44" i="93"/>
  <c r="BW44" i="93"/>
  <c r="BV44" i="93"/>
  <c r="BU44" i="93"/>
  <c r="BT44" i="93"/>
  <c r="BS44" i="93"/>
  <c r="BR44" i="93"/>
  <c r="BP44" i="93"/>
  <c r="AI44" i="93"/>
  <c r="AH44" i="93"/>
  <c r="AG44" i="93"/>
  <c r="AF44" i="93"/>
  <c r="AE44" i="93"/>
  <c r="AD44" i="93"/>
  <c r="AC44" i="93"/>
  <c r="AB44" i="93"/>
  <c r="AA44" i="93"/>
  <c r="Z44" i="93"/>
  <c r="X44" i="93"/>
  <c r="W44" i="93"/>
  <c r="V44" i="93"/>
  <c r="DH43" i="93"/>
  <c r="DK43" i="93" s="1"/>
  <c r="DG43" i="93"/>
  <c r="DJ43" i="93" s="1"/>
  <c r="DF43" i="93"/>
  <c r="DI43" i="93" s="1"/>
  <c r="BZ43" i="93"/>
  <c r="BY43" i="93"/>
  <c r="BX43" i="93"/>
  <c r="BW43" i="93"/>
  <c r="BV43" i="93"/>
  <c r="BU43" i="93"/>
  <c r="BT43" i="93"/>
  <c r="BS43" i="93"/>
  <c r="BR43" i="93"/>
  <c r="BP43" i="93"/>
  <c r="AI43" i="93"/>
  <c r="AH43" i="93"/>
  <c r="AG43" i="93"/>
  <c r="AF43" i="93"/>
  <c r="AE43" i="93"/>
  <c r="AD43" i="93"/>
  <c r="AC43" i="93"/>
  <c r="AB43" i="93"/>
  <c r="AA43" i="93"/>
  <c r="Z43" i="93"/>
  <c r="X43" i="93"/>
  <c r="W43" i="93"/>
  <c r="V43" i="93"/>
  <c r="DH42" i="93"/>
  <c r="DK42" i="93" s="1"/>
  <c r="DG42" i="93"/>
  <c r="DJ42" i="93" s="1"/>
  <c r="DF42" i="93"/>
  <c r="DI42" i="93" s="1"/>
  <c r="BZ42" i="93"/>
  <c r="BY42" i="93"/>
  <c r="BX42" i="93"/>
  <c r="BW42" i="93"/>
  <c r="BV42" i="93"/>
  <c r="BU42" i="93"/>
  <c r="BT42" i="93"/>
  <c r="BS42" i="93"/>
  <c r="BR42" i="93"/>
  <c r="BP42" i="93"/>
  <c r="AI42" i="93"/>
  <c r="AH42" i="93"/>
  <c r="AG42" i="93"/>
  <c r="AF42" i="93"/>
  <c r="AE42" i="93"/>
  <c r="AD42" i="93"/>
  <c r="AC42" i="93"/>
  <c r="AB42" i="93"/>
  <c r="AA42" i="93"/>
  <c r="Z42" i="93"/>
  <c r="X42" i="93"/>
  <c r="W42" i="93"/>
  <c r="V42" i="93"/>
  <c r="DH41" i="93"/>
  <c r="DK41" i="93" s="1"/>
  <c r="DG41" i="93"/>
  <c r="DJ41" i="93" s="1"/>
  <c r="DF41" i="93"/>
  <c r="DI41" i="93" s="1"/>
  <c r="BZ41" i="93"/>
  <c r="BY41" i="93"/>
  <c r="BX41" i="93"/>
  <c r="BW41" i="93"/>
  <c r="BV41" i="93"/>
  <c r="BU41" i="93"/>
  <c r="BT41" i="93"/>
  <c r="BS41" i="93"/>
  <c r="BR41" i="93"/>
  <c r="BP41" i="93"/>
  <c r="AI41" i="93"/>
  <c r="AH41" i="93"/>
  <c r="AG41" i="93"/>
  <c r="AF41" i="93"/>
  <c r="AE41" i="93"/>
  <c r="AD41" i="93"/>
  <c r="AC41" i="93"/>
  <c r="AB41" i="93"/>
  <c r="AA41" i="93"/>
  <c r="Z41" i="93"/>
  <c r="X41" i="93"/>
  <c r="W41" i="93"/>
  <c r="V41" i="93"/>
  <c r="DH40" i="93"/>
  <c r="DK40" i="93" s="1"/>
  <c r="DG40" i="93"/>
  <c r="DJ40" i="93" s="1"/>
  <c r="DF40" i="93"/>
  <c r="DI40" i="93" s="1"/>
  <c r="BZ40" i="93"/>
  <c r="BY40" i="93"/>
  <c r="BX40" i="93"/>
  <c r="BW40" i="93"/>
  <c r="BV40" i="93"/>
  <c r="BU40" i="93"/>
  <c r="BT40" i="93"/>
  <c r="BS40" i="93"/>
  <c r="BR40" i="93"/>
  <c r="BP40" i="93"/>
  <c r="AI40" i="93"/>
  <c r="AH40" i="93"/>
  <c r="AG40" i="93"/>
  <c r="AF40" i="93"/>
  <c r="AE40" i="93"/>
  <c r="AD40" i="93"/>
  <c r="AC40" i="93"/>
  <c r="AB40" i="93"/>
  <c r="AA40" i="93"/>
  <c r="Z40" i="93"/>
  <c r="X40" i="93"/>
  <c r="W40" i="93"/>
  <c r="V40" i="93"/>
  <c r="DH39" i="93"/>
  <c r="DK39" i="93" s="1"/>
  <c r="DG39" i="93"/>
  <c r="DJ39" i="93" s="1"/>
  <c r="DF39" i="93"/>
  <c r="DI39" i="93" s="1"/>
  <c r="BZ39" i="93"/>
  <c r="BY39" i="93"/>
  <c r="BX39" i="93"/>
  <c r="BW39" i="93"/>
  <c r="BV39" i="93"/>
  <c r="BU39" i="93"/>
  <c r="BT39" i="93"/>
  <c r="BS39" i="93"/>
  <c r="BR39" i="93"/>
  <c r="BP39" i="93"/>
  <c r="AI39" i="93"/>
  <c r="AH39" i="93"/>
  <c r="AG39" i="93"/>
  <c r="AF39" i="93"/>
  <c r="AE39" i="93"/>
  <c r="AD39" i="93"/>
  <c r="AC39" i="93"/>
  <c r="AB39" i="93"/>
  <c r="AA39" i="93"/>
  <c r="Z39" i="93"/>
  <c r="X39" i="93"/>
  <c r="W39" i="93"/>
  <c r="V39" i="93"/>
  <c r="DH38" i="93"/>
  <c r="DK38" i="93" s="1"/>
  <c r="DG38" i="93"/>
  <c r="DJ38" i="93" s="1"/>
  <c r="DF38" i="93"/>
  <c r="DI38" i="93" s="1"/>
  <c r="BZ38" i="93"/>
  <c r="BY38" i="93"/>
  <c r="BX38" i="93"/>
  <c r="BW38" i="93"/>
  <c r="BV38" i="93"/>
  <c r="BU38" i="93"/>
  <c r="BT38" i="93"/>
  <c r="BS38" i="93"/>
  <c r="BR38" i="93"/>
  <c r="BP38" i="93"/>
  <c r="AI38" i="93"/>
  <c r="AH38" i="93"/>
  <c r="AG38" i="93"/>
  <c r="AF38" i="93"/>
  <c r="AE38" i="93"/>
  <c r="AD38" i="93"/>
  <c r="AC38" i="93"/>
  <c r="AB38" i="93"/>
  <c r="AA38" i="93"/>
  <c r="Z38" i="93"/>
  <c r="X38" i="93"/>
  <c r="W38" i="93"/>
  <c r="V38" i="93"/>
  <c r="DH37" i="93"/>
  <c r="DK37" i="93" s="1"/>
  <c r="DG37" i="93"/>
  <c r="DJ37" i="93" s="1"/>
  <c r="DF37" i="93"/>
  <c r="DI37" i="93" s="1"/>
  <c r="BZ37" i="93"/>
  <c r="BY37" i="93"/>
  <c r="BX37" i="93"/>
  <c r="BW37" i="93"/>
  <c r="BV37" i="93"/>
  <c r="BU37" i="93"/>
  <c r="BT37" i="93"/>
  <c r="BS37" i="93"/>
  <c r="BR37" i="93"/>
  <c r="BP37" i="93"/>
  <c r="AI37" i="93"/>
  <c r="AH37" i="93"/>
  <c r="AG37" i="93"/>
  <c r="AF37" i="93"/>
  <c r="AE37" i="93"/>
  <c r="AD37" i="93"/>
  <c r="AC37" i="93"/>
  <c r="AB37" i="93"/>
  <c r="AA37" i="93"/>
  <c r="Z37" i="93"/>
  <c r="X37" i="93"/>
  <c r="W37" i="93"/>
  <c r="V37" i="93"/>
  <c r="DH36" i="93"/>
  <c r="DK36" i="93" s="1"/>
  <c r="DG36" i="93"/>
  <c r="DJ36" i="93" s="1"/>
  <c r="DF36" i="93"/>
  <c r="DI36" i="93" s="1"/>
  <c r="BZ36" i="93"/>
  <c r="BY36" i="93"/>
  <c r="BX36" i="93"/>
  <c r="BW36" i="93"/>
  <c r="BV36" i="93"/>
  <c r="BU36" i="93"/>
  <c r="BT36" i="93"/>
  <c r="BS36" i="93"/>
  <c r="BR36" i="93"/>
  <c r="BP36" i="93"/>
  <c r="AI36" i="93"/>
  <c r="AH36" i="93"/>
  <c r="AG36" i="93"/>
  <c r="AF36" i="93"/>
  <c r="AE36" i="93"/>
  <c r="AD36" i="93"/>
  <c r="AC36" i="93"/>
  <c r="AB36" i="93"/>
  <c r="AA36" i="93"/>
  <c r="Z36" i="93"/>
  <c r="X36" i="93"/>
  <c r="W36" i="93"/>
  <c r="V36" i="93"/>
  <c r="DH35" i="93"/>
  <c r="DK35" i="93" s="1"/>
  <c r="DG35" i="93"/>
  <c r="DJ35" i="93" s="1"/>
  <c r="DF35" i="93"/>
  <c r="DI35" i="93" s="1"/>
  <c r="BZ35" i="93"/>
  <c r="BY35" i="93"/>
  <c r="BX35" i="93"/>
  <c r="BW35" i="93"/>
  <c r="BV35" i="93"/>
  <c r="BU35" i="93"/>
  <c r="BT35" i="93"/>
  <c r="BS35" i="93"/>
  <c r="BR35" i="93"/>
  <c r="BP35" i="93"/>
  <c r="AI35" i="93"/>
  <c r="AH35" i="93"/>
  <c r="AG35" i="93"/>
  <c r="AF35" i="93"/>
  <c r="AE35" i="93"/>
  <c r="AD35" i="93"/>
  <c r="AC35" i="93"/>
  <c r="AB35" i="93"/>
  <c r="AA35" i="93"/>
  <c r="Z35" i="93"/>
  <c r="X35" i="93"/>
  <c r="W35" i="93"/>
  <c r="V35" i="93"/>
  <c r="DH34" i="93"/>
  <c r="DK34" i="93" s="1"/>
  <c r="DG34" i="93"/>
  <c r="DJ34" i="93" s="1"/>
  <c r="DF34" i="93"/>
  <c r="DI34" i="93" s="1"/>
  <c r="BZ34" i="93"/>
  <c r="BY34" i="93"/>
  <c r="BX34" i="93"/>
  <c r="BW34" i="93"/>
  <c r="BV34" i="93"/>
  <c r="BU34" i="93"/>
  <c r="BT34" i="93"/>
  <c r="BS34" i="93"/>
  <c r="BR34" i="93"/>
  <c r="BP34" i="93"/>
  <c r="AI34" i="93"/>
  <c r="AH34" i="93"/>
  <c r="AG34" i="93"/>
  <c r="AF34" i="93"/>
  <c r="AE34" i="93"/>
  <c r="AD34" i="93"/>
  <c r="AC34" i="93"/>
  <c r="AB34" i="93"/>
  <c r="AA34" i="93"/>
  <c r="Z34" i="93"/>
  <c r="X34" i="93"/>
  <c r="W34" i="93"/>
  <c r="V34" i="93"/>
  <c r="DH33" i="93"/>
  <c r="DK33" i="93" s="1"/>
  <c r="DG33" i="93"/>
  <c r="DJ33" i="93" s="1"/>
  <c r="DF33" i="93"/>
  <c r="DI33" i="93" s="1"/>
  <c r="BZ33" i="93"/>
  <c r="BY33" i="93"/>
  <c r="BX33" i="93"/>
  <c r="BW33" i="93"/>
  <c r="BV33" i="93"/>
  <c r="BU33" i="93"/>
  <c r="BT33" i="93"/>
  <c r="BS33" i="93"/>
  <c r="BR33" i="93"/>
  <c r="BP33" i="93"/>
  <c r="AI33" i="93"/>
  <c r="AH33" i="93"/>
  <c r="AG33" i="93"/>
  <c r="AF33" i="93"/>
  <c r="AE33" i="93"/>
  <c r="AD33" i="93"/>
  <c r="AC33" i="93"/>
  <c r="AB33" i="93"/>
  <c r="AA33" i="93"/>
  <c r="Z33" i="93"/>
  <c r="X33" i="93"/>
  <c r="W33" i="93"/>
  <c r="V33" i="93"/>
  <c r="DH32" i="93"/>
  <c r="DK32" i="93" s="1"/>
  <c r="DG32" i="93"/>
  <c r="DJ32" i="93" s="1"/>
  <c r="DF32" i="93"/>
  <c r="DI32" i="93" s="1"/>
  <c r="BZ32" i="93"/>
  <c r="BY32" i="93"/>
  <c r="BX32" i="93"/>
  <c r="BW32" i="93"/>
  <c r="BV32" i="93"/>
  <c r="BU32" i="93"/>
  <c r="BT32" i="93"/>
  <c r="BS32" i="93"/>
  <c r="BR32" i="93"/>
  <c r="BP32" i="93"/>
  <c r="AI32" i="93"/>
  <c r="AH32" i="93"/>
  <c r="AG32" i="93"/>
  <c r="AF32" i="93"/>
  <c r="AE32" i="93"/>
  <c r="AD32" i="93"/>
  <c r="AC32" i="93"/>
  <c r="AB32" i="93"/>
  <c r="AA32" i="93"/>
  <c r="Z32" i="93"/>
  <c r="X32" i="93"/>
  <c r="W32" i="93"/>
  <c r="V32" i="93"/>
  <c r="DH31" i="93"/>
  <c r="DK31" i="93" s="1"/>
  <c r="DG31" i="93"/>
  <c r="DJ31" i="93" s="1"/>
  <c r="DF31" i="93"/>
  <c r="DI31" i="93" s="1"/>
  <c r="BZ31" i="93"/>
  <c r="BY31" i="93"/>
  <c r="BX31" i="93"/>
  <c r="BW31" i="93"/>
  <c r="BV31" i="93"/>
  <c r="BU31" i="93"/>
  <c r="BT31" i="93"/>
  <c r="BS31" i="93"/>
  <c r="BR31" i="93"/>
  <c r="BP31" i="93"/>
  <c r="AI31" i="93"/>
  <c r="AH31" i="93"/>
  <c r="AG31" i="93"/>
  <c r="AF31" i="93"/>
  <c r="AE31" i="93"/>
  <c r="AD31" i="93"/>
  <c r="AC31" i="93"/>
  <c r="AB31" i="93"/>
  <c r="AA31" i="93"/>
  <c r="Z31" i="93"/>
  <c r="X31" i="93"/>
  <c r="W31" i="93"/>
  <c r="V31" i="93"/>
  <c r="DH30" i="93"/>
  <c r="DK30" i="93" s="1"/>
  <c r="DG30" i="93"/>
  <c r="DJ30" i="93" s="1"/>
  <c r="DF30" i="93"/>
  <c r="DI30" i="93" s="1"/>
  <c r="BZ30" i="93"/>
  <c r="BY30" i="93"/>
  <c r="BX30" i="93"/>
  <c r="BW30" i="93"/>
  <c r="BV30" i="93"/>
  <c r="BU30" i="93"/>
  <c r="BT30" i="93"/>
  <c r="BS30" i="93"/>
  <c r="BR30" i="93"/>
  <c r="BP30" i="93"/>
  <c r="AI30" i="93"/>
  <c r="AH30" i="93"/>
  <c r="AG30" i="93"/>
  <c r="AF30" i="93"/>
  <c r="AE30" i="93"/>
  <c r="AD30" i="93"/>
  <c r="AC30" i="93"/>
  <c r="AB30" i="93"/>
  <c r="AA30" i="93"/>
  <c r="Z30" i="93"/>
  <c r="X30" i="93"/>
  <c r="W30" i="93"/>
  <c r="V30" i="93"/>
  <c r="DH29" i="93"/>
  <c r="DK29" i="93" s="1"/>
  <c r="DG29" i="93"/>
  <c r="DJ29" i="93" s="1"/>
  <c r="DF29" i="93"/>
  <c r="DI29" i="93" s="1"/>
  <c r="BZ29" i="93"/>
  <c r="BY29" i="93"/>
  <c r="BX29" i="93"/>
  <c r="BW29" i="93"/>
  <c r="BV29" i="93"/>
  <c r="BU29" i="93"/>
  <c r="BT29" i="93"/>
  <c r="BS29" i="93"/>
  <c r="BR29" i="93"/>
  <c r="BP29" i="93"/>
  <c r="AI29" i="93"/>
  <c r="AH29" i="93"/>
  <c r="AG29" i="93"/>
  <c r="AF29" i="93"/>
  <c r="AE29" i="93"/>
  <c r="AD29" i="93"/>
  <c r="AC29" i="93"/>
  <c r="AB29" i="93"/>
  <c r="AA29" i="93"/>
  <c r="Z29" i="93"/>
  <c r="X29" i="93"/>
  <c r="W29" i="93"/>
  <c r="V29" i="93"/>
  <c r="DH28" i="93"/>
  <c r="DK28" i="93" s="1"/>
  <c r="DG28" i="93"/>
  <c r="DJ28" i="93" s="1"/>
  <c r="DF28" i="93"/>
  <c r="DI28" i="93" s="1"/>
  <c r="BZ28" i="93"/>
  <c r="BY28" i="93"/>
  <c r="BX28" i="93"/>
  <c r="BW28" i="93"/>
  <c r="BV28" i="93"/>
  <c r="BU28" i="93"/>
  <c r="BT28" i="93"/>
  <c r="BS28" i="93"/>
  <c r="BR28" i="93"/>
  <c r="BP28" i="93"/>
  <c r="AI28" i="93"/>
  <c r="AH28" i="93"/>
  <c r="AG28" i="93"/>
  <c r="AF28" i="93"/>
  <c r="AE28" i="93"/>
  <c r="AD28" i="93"/>
  <c r="AC28" i="93"/>
  <c r="AB28" i="93"/>
  <c r="AA28" i="93"/>
  <c r="Z28" i="93"/>
  <c r="X28" i="93"/>
  <c r="W28" i="93"/>
  <c r="V28" i="93"/>
  <c r="DH27" i="93"/>
  <c r="DK27" i="93" s="1"/>
  <c r="DG27" i="93"/>
  <c r="DJ27" i="93" s="1"/>
  <c r="DF27" i="93"/>
  <c r="DI27" i="93" s="1"/>
  <c r="BZ27" i="93"/>
  <c r="BY27" i="93"/>
  <c r="BX27" i="93"/>
  <c r="BW27" i="93"/>
  <c r="BV27" i="93"/>
  <c r="BU27" i="93"/>
  <c r="BT27" i="93"/>
  <c r="BS27" i="93"/>
  <c r="BR27" i="93"/>
  <c r="BP27" i="93"/>
  <c r="AI27" i="93"/>
  <c r="AH27" i="93"/>
  <c r="AG27" i="93"/>
  <c r="AF27" i="93"/>
  <c r="AE27" i="93"/>
  <c r="AD27" i="93"/>
  <c r="AC27" i="93"/>
  <c r="AB27" i="93"/>
  <c r="AA27" i="93"/>
  <c r="Z27" i="93"/>
  <c r="X27" i="93"/>
  <c r="W27" i="93"/>
  <c r="V27" i="93"/>
  <c r="DH26" i="93"/>
  <c r="DK26" i="93" s="1"/>
  <c r="DG26" i="93"/>
  <c r="DJ26" i="93" s="1"/>
  <c r="DF26" i="93"/>
  <c r="DI26" i="93" s="1"/>
  <c r="BZ26" i="93"/>
  <c r="BY26" i="93"/>
  <c r="BX26" i="93"/>
  <c r="BW26" i="93"/>
  <c r="BV26" i="93"/>
  <c r="BU26" i="93"/>
  <c r="BT26" i="93"/>
  <c r="BS26" i="93"/>
  <c r="BR26" i="93"/>
  <c r="BP26" i="93"/>
  <c r="AI26" i="93"/>
  <c r="AH26" i="93"/>
  <c r="AG26" i="93"/>
  <c r="AF26" i="93"/>
  <c r="AE26" i="93"/>
  <c r="AD26" i="93"/>
  <c r="AC26" i="93"/>
  <c r="AB26" i="93"/>
  <c r="AA26" i="93"/>
  <c r="Z26" i="93"/>
  <c r="X26" i="93"/>
  <c r="W26" i="93"/>
  <c r="V26" i="93"/>
  <c r="DH25" i="93"/>
  <c r="DK25" i="93" s="1"/>
  <c r="DG25" i="93"/>
  <c r="DJ25" i="93" s="1"/>
  <c r="DF25" i="93"/>
  <c r="DI25" i="93" s="1"/>
  <c r="BZ25" i="93"/>
  <c r="BY25" i="93"/>
  <c r="BX25" i="93"/>
  <c r="BW25" i="93"/>
  <c r="BV25" i="93"/>
  <c r="BU25" i="93"/>
  <c r="BT25" i="93"/>
  <c r="BS25" i="93"/>
  <c r="BR25" i="93"/>
  <c r="BP25" i="93"/>
  <c r="AI25" i="93"/>
  <c r="AH25" i="93"/>
  <c r="AG25" i="93"/>
  <c r="AF25" i="93"/>
  <c r="AE25" i="93"/>
  <c r="AD25" i="93"/>
  <c r="AC25" i="93"/>
  <c r="AB25" i="93"/>
  <c r="AA25" i="93"/>
  <c r="Z25" i="93"/>
  <c r="X25" i="93"/>
  <c r="W25" i="93"/>
  <c r="V25" i="93"/>
  <c r="DH24" i="93"/>
  <c r="DK24" i="93" s="1"/>
  <c r="DG24" i="93"/>
  <c r="DJ24" i="93" s="1"/>
  <c r="DF24" i="93"/>
  <c r="DI24" i="93" s="1"/>
  <c r="BZ24" i="93"/>
  <c r="BY24" i="93"/>
  <c r="BX24" i="93"/>
  <c r="BW24" i="93"/>
  <c r="BV24" i="93"/>
  <c r="BU24" i="93"/>
  <c r="BT24" i="93"/>
  <c r="BS24" i="93"/>
  <c r="BR24" i="93"/>
  <c r="BP24" i="93"/>
  <c r="AI24" i="93"/>
  <c r="AH24" i="93"/>
  <c r="AG24" i="93"/>
  <c r="AF24" i="93"/>
  <c r="AE24" i="93"/>
  <c r="AD24" i="93"/>
  <c r="AC24" i="93"/>
  <c r="AB24" i="93"/>
  <c r="AA24" i="93"/>
  <c r="Z24" i="93"/>
  <c r="X24" i="93"/>
  <c r="W24" i="93"/>
  <c r="V24" i="93"/>
  <c r="DH23" i="93"/>
  <c r="DK23" i="93" s="1"/>
  <c r="DG23" i="93"/>
  <c r="DJ23" i="93" s="1"/>
  <c r="DF23" i="93"/>
  <c r="DI23" i="93" s="1"/>
  <c r="BZ23" i="93"/>
  <c r="BY23" i="93"/>
  <c r="BX23" i="93"/>
  <c r="BW23" i="93"/>
  <c r="BV23" i="93"/>
  <c r="BU23" i="93"/>
  <c r="BT23" i="93"/>
  <c r="BS23" i="93"/>
  <c r="BR23" i="93"/>
  <c r="BP23" i="93"/>
  <c r="AI23" i="93"/>
  <c r="AH23" i="93"/>
  <c r="AG23" i="93"/>
  <c r="AF23" i="93"/>
  <c r="AE23" i="93"/>
  <c r="AD23" i="93"/>
  <c r="AC23" i="93"/>
  <c r="AB23" i="93"/>
  <c r="AA23" i="93"/>
  <c r="Z23" i="93"/>
  <c r="X23" i="93"/>
  <c r="W23" i="93"/>
  <c r="V23" i="93"/>
  <c r="DH22" i="93"/>
  <c r="DK22" i="93" s="1"/>
  <c r="DG22" i="93"/>
  <c r="DJ22" i="93" s="1"/>
  <c r="DF22" i="93"/>
  <c r="DI22" i="93" s="1"/>
  <c r="BZ22" i="93"/>
  <c r="BY22" i="93"/>
  <c r="BX22" i="93"/>
  <c r="BW22" i="93"/>
  <c r="BV22" i="93"/>
  <c r="BU22" i="93"/>
  <c r="BT22" i="93"/>
  <c r="BS22" i="93"/>
  <c r="BR22" i="93"/>
  <c r="BP22" i="93"/>
  <c r="AI22" i="93"/>
  <c r="AH22" i="93"/>
  <c r="AG22" i="93"/>
  <c r="AF22" i="93"/>
  <c r="AE22" i="93"/>
  <c r="AD22" i="93"/>
  <c r="AC22" i="93"/>
  <c r="AB22" i="93"/>
  <c r="AA22" i="93"/>
  <c r="Z22" i="93"/>
  <c r="X22" i="93"/>
  <c r="DH21" i="93"/>
  <c r="DK21" i="93" s="1"/>
  <c r="DG21" i="93"/>
  <c r="DJ21" i="93" s="1"/>
  <c r="DF21" i="93"/>
  <c r="DI21" i="93" s="1"/>
  <c r="BZ21" i="93"/>
  <c r="BY21" i="93"/>
  <c r="BX21" i="93"/>
  <c r="BW21" i="93"/>
  <c r="BV21" i="93"/>
  <c r="BU21" i="93"/>
  <c r="BT21" i="93"/>
  <c r="BS21" i="93"/>
  <c r="BR21" i="93"/>
  <c r="BP21" i="93"/>
  <c r="AI21" i="93"/>
  <c r="AH21" i="93"/>
  <c r="AG21" i="93"/>
  <c r="AF21" i="93"/>
  <c r="AE21" i="93"/>
  <c r="AD21" i="93"/>
  <c r="AC21" i="93"/>
  <c r="AB21" i="93"/>
  <c r="AA21" i="93"/>
  <c r="Z21" i="93"/>
  <c r="X21" i="93"/>
  <c r="W21" i="93"/>
  <c r="V21" i="93"/>
  <c r="DH20" i="93"/>
  <c r="DK20" i="93" s="1"/>
  <c r="DG20" i="93"/>
  <c r="DJ20" i="93" s="1"/>
  <c r="DF20" i="93"/>
  <c r="DI20" i="93" s="1"/>
  <c r="BZ20" i="93"/>
  <c r="BY20" i="93"/>
  <c r="BX20" i="93"/>
  <c r="BW20" i="93"/>
  <c r="BV20" i="93"/>
  <c r="BU20" i="93"/>
  <c r="BT20" i="93"/>
  <c r="BS20" i="93"/>
  <c r="BR20" i="93"/>
  <c r="BP20" i="93"/>
  <c r="AI20" i="93"/>
  <c r="AH20" i="93"/>
  <c r="AG20" i="93"/>
  <c r="AF20" i="93"/>
  <c r="AE20" i="93"/>
  <c r="AD20" i="93"/>
  <c r="AC20" i="93"/>
  <c r="AB20" i="93"/>
  <c r="AA20" i="93"/>
  <c r="Z20" i="93"/>
  <c r="X20" i="93"/>
  <c r="W20" i="93"/>
  <c r="V20" i="93"/>
  <c r="DH19" i="93"/>
  <c r="DK19" i="93" s="1"/>
  <c r="DG19" i="93"/>
  <c r="DJ19" i="93" s="1"/>
  <c r="DF19" i="93"/>
  <c r="DI19" i="93" s="1"/>
  <c r="BZ19" i="93"/>
  <c r="BY19" i="93"/>
  <c r="BX19" i="93"/>
  <c r="BT19" i="93"/>
  <c r="BS19" i="93"/>
  <c r="BR19" i="93"/>
  <c r="BP19" i="93"/>
  <c r="AI19" i="93"/>
  <c r="AH19" i="93"/>
  <c r="AG19" i="93"/>
  <c r="AC19" i="93"/>
  <c r="AB19" i="93"/>
  <c r="AA19" i="93"/>
  <c r="Z19" i="93"/>
  <c r="X19" i="93"/>
  <c r="W19" i="93"/>
  <c r="V19" i="93"/>
  <c r="DH18" i="93"/>
  <c r="DK18" i="93" s="1"/>
  <c r="DG18" i="93"/>
  <c r="DJ18" i="93" s="1"/>
  <c r="DF18" i="93"/>
  <c r="DI18" i="93" s="1"/>
  <c r="BZ18" i="93"/>
  <c r="BY18" i="93"/>
  <c r="BW18" i="93"/>
  <c r="BV18" i="93"/>
  <c r="BU18" i="93"/>
  <c r="BT18" i="93"/>
  <c r="BS18" i="93"/>
  <c r="BR18" i="93"/>
  <c r="BP18" i="93"/>
  <c r="AI18" i="93"/>
  <c r="AH18" i="93"/>
  <c r="AF18" i="93"/>
  <c r="AE18" i="93"/>
  <c r="AD18" i="93"/>
  <c r="AC18" i="93"/>
  <c r="AB18" i="93"/>
  <c r="AA18" i="93"/>
  <c r="Z18" i="93"/>
  <c r="X18" i="93"/>
  <c r="W18" i="93"/>
  <c r="V18" i="93"/>
  <c r="DH17" i="93"/>
  <c r="DK17" i="93" s="1"/>
  <c r="DG17" i="93"/>
  <c r="DJ17" i="93" s="1"/>
  <c r="DF17" i="93"/>
  <c r="DI17" i="93" s="1"/>
  <c r="BZ17" i="93"/>
  <c r="BY17" i="93"/>
  <c r="BX17" i="93"/>
  <c r="BW17" i="93"/>
  <c r="BV17" i="93"/>
  <c r="BU17" i="93"/>
  <c r="BT17" i="93"/>
  <c r="BS17" i="93"/>
  <c r="BR17" i="93"/>
  <c r="BP17" i="93"/>
  <c r="AI17" i="93"/>
  <c r="AH17" i="93"/>
  <c r="AG17" i="93"/>
  <c r="AF17" i="93"/>
  <c r="AE17" i="93"/>
  <c r="AD17" i="93"/>
  <c r="AC17" i="93"/>
  <c r="AB17" i="93"/>
  <c r="AA17" i="93"/>
  <c r="Z17" i="93"/>
  <c r="X17" i="93"/>
  <c r="W17" i="93"/>
  <c r="V17" i="93"/>
  <c r="DH16" i="93"/>
  <c r="DK16" i="93" s="1"/>
  <c r="DG16" i="93"/>
  <c r="DJ16" i="93" s="1"/>
  <c r="DF16" i="93"/>
  <c r="DI16" i="93" s="1"/>
  <c r="BZ16" i="93"/>
  <c r="BY16" i="93"/>
  <c r="BX16" i="93"/>
  <c r="BW16" i="93"/>
  <c r="BV16" i="93"/>
  <c r="BU16" i="93"/>
  <c r="BT16" i="93"/>
  <c r="BS16" i="93"/>
  <c r="BR16" i="93"/>
  <c r="BP16" i="93"/>
  <c r="AI16" i="93"/>
  <c r="AH16" i="93"/>
  <c r="AG16" i="93"/>
  <c r="AF16" i="93"/>
  <c r="AE16" i="93"/>
  <c r="AD16" i="93"/>
  <c r="AC16" i="93"/>
  <c r="AB16" i="93"/>
  <c r="AA16" i="93"/>
  <c r="Z16" i="93"/>
  <c r="X16" i="93"/>
  <c r="W16" i="93"/>
  <c r="V16" i="93"/>
  <c r="DH15" i="93"/>
  <c r="DK15" i="93" s="1"/>
  <c r="DG15" i="93"/>
  <c r="DJ15" i="93" s="1"/>
  <c r="DF15" i="93"/>
  <c r="DI15" i="93" s="1"/>
  <c r="BZ15" i="93"/>
  <c r="BY15" i="93"/>
  <c r="BX15" i="93"/>
  <c r="BW15" i="93"/>
  <c r="BV15" i="93"/>
  <c r="BU15" i="93"/>
  <c r="BT15" i="93"/>
  <c r="BS15" i="93"/>
  <c r="BR15" i="93"/>
  <c r="BP15" i="93"/>
  <c r="AI15" i="93"/>
  <c r="AH15" i="93"/>
  <c r="AG15" i="93"/>
  <c r="AF15" i="93"/>
  <c r="AE15" i="93"/>
  <c r="AD15" i="93"/>
  <c r="AC15" i="93"/>
  <c r="AB15" i="93"/>
  <c r="AA15" i="93"/>
  <c r="Z15" i="93"/>
  <c r="X15" i="93"/>
  <c r="W15" i="93"/>
  <c r="V15" i="93"/>
  <c r="A15" i="93"/>
  <c r="A11" i="93"/>
  <c r="A1" i="93"/>
  <c r="AW84" i="92"/>
  <c r="CN84" i="92" s="1"/>
  <c r="AW83" i="92"/>
  <c r="CN83" i="92" s="1"/>
  <c r="AW82" i="92"/>
  <c r="CN82" i="92" s="1"/>
  <c r="AW81" i="92"/>
  <c r="CN81" i="92" s="1"/>
  <c r="A56" i="92"/>
  <c r="A52" i="92"/>
  <c r="A51" i="92"/>
  <c r="A50" i="92"/>
  <c r="A49" i="92"/>
  <c r="A47" i="92"/>
  <c r="DK45" i="92"/>
  <c r="DJ45" i="92"/>
  <c r="U45" i="92"/>
  <c r="T45" i="92"/>
  <c r="S45" i="92"/>
  <c r="M45" i="92"/>
  <c r="DH44" i="92"/>
  <c r="DK44" i="92" s="1"/>
  <c r="DG44" i="92"/>
  <c r="DJ44" i="92" s="1"/>
  <c r="DF44" i="92"/>
  <c r="DI44" i="92" s="1"/>
  <c r="BZ44" i="92"/>
  <c r="BY44" i="92"/>
  <c r="BX44" i="92"/>
  <c r="BW44" i="92"/>
  <c r="BV44" i="92"/>
  <c r="BU44" i="92"/>
  <c r="BT44" i="92"/>
  <c r="BS44" i="92"/>
  <c r="AI44" i="92"/>
  <c r="AH44" i="92"/>
  <c r="AG44" i="92"/>
  <c r="AF44" i="92"/>
  <c r="AE44" i="92"/>
  <c r="AD44" i="92"/>
  <c r="AC44" i="92"/>
  <c r="AB44" i="92"/>
  <c r="AA44" i="92"/>
  <c r="Z44" i="92"/>
  <c r="X44" i="92"/>
  <c r="W44" i="92"/>
  <c r="V44" i="92"/>
  <c r="DH43" i="92"/>
  <c r="DK43" i="92" s="1"/>
  <c r="DG43" i="92"/>
  <c r="DJ43" i="92" s="1"/>
  <c r="DF43" i="92"/>
  <c r="DI43" i="92" s="1"/>
  <c r="BZ43" i="92"/>
  <c r="BY43" i="92"/>
  <c r="BX43" i="92"/>
  <c r="BW43" i="92"/>
  <c r="BV43" i="92"/>
  <c r="BU43" i="92"/>
  <c r="BT43" i="92"/>
  <c r="BS43" i="92"/>
  <c r="AI43" i="92"/>
  <c r="AH43" i="92"/>
  <c r="AG43" i="92"/>
  <c r="AF43" i="92"/>
  <c r="AE43" i="92"/>
  <c r="AD43" i="92"/>
  <c r="AC43" i="92"/>
  <c r="AB43" i="92"/>
  <c r="AA43" i="92"/>
  <c r="Z43" i="92"/>
  <c r="X43" i="92"/>
  <c r="W43" i="92"/>
  <c r="V43" i="92"/>
  <c r="DH42" i="92"/>
  <c r="DK42" i="92" s="1"/>
  <c r="DG42" i="92"/>
  <c r="DJ42" i="92" s="1"/>
  <c r="DF42" i="92"/>
  <c r="DI42" i="92" s="1"/>
  <c r="BZ42" i="92"/>
  <c r="BY42" i="92"/>
  <c r="BW42" i="92"/>
  <c r="BT42" i="92"/>
  <c r="BS42" i="92"/>
  <c r="AI42" i="92"/>
  <c r="AH42" i="92"/>
  <c r="AF42" i="92"/>
  <c r="AC42" i="92"/>
  <c r="AB42" i="92"/>
  <c r="AA42" i="92"/>
  <c r="Z42" i="92"/>
  <c r="X42" i="92"/>
  <c r="W42" i="92"/>
  <c r="V42" i="92"/>
  <c r="DH41" i="92"/>
  <c r="DK41" i="92" s="1"/>
  <c r="DG41" i="92"/>
  <c r="DJ41" i="92" s="1"/>
  <c r="DF41" i="92"/>
  <c r="DI41" i="92" s="1"/>
  <c r="BZ41" i="92"/>
  <c r="BY41" i="92"/>
  <c r="BX41" i="92"/>
  <c r="BV41" i="92"/>
  <c r="BU41" i="92"/>
  <c r="BT41" i="92"/>
  <c r="BS41" i="92"/>
  <c r="AI41" i="92"/>
  <c r="AH41" i="92"/>
  <c r="AG41" i="92"/>
  <c r="AE41" i="92"/>
  <c r="AD41" i="92"/>
  <c r="AC41" i="92"/>
  <c r="AB41" i="92"/>
  <c r="AA41" i="92"/>
  <c r="Z41" i="92"/>
  <c r="X41" i="92"/>
  <c r="W41" i="92"/>
  <c r="V41" i="92"/>
  <c r="DH40" i="92"/>
  <c r="DK40" i="92" s="1"/>
  <c r="DG40" i="92"/>
  <c r="DJ40" i="92" s="1"/>
  <c r="DF40" i="92"/>
  <c r="DI40" i="92" s="1"/>
  <c r="BZ40" i="92"/>
  <c r="BY40" i="92"/>
  <c r="BX40" i="92"/>
  <c r="BW40" i="92"/>
  <c r="BV40" i="92"/>
  <c r="BT40" i="92"/>
  <c r="BS40" i="92"/>
  <c r="AI40" i="92"/>
  <c r="AH40" i="92"/>
  <c r="AG40" i="92"/>
  <c r="AF40" i="92"/>
  <c r="AE40" i="92"/>
  <c r="AC40" i="92"/>
  <c r="AB40" i="92"/>
  <c r="AA40" i="92"/>
  <c r="Z40" i="92"/>
  <c r="X40" i="92"/>
  <c r="W40" i="92"/>
  <c r="V40" i="92"/>
  <c r="DH39" i="92"/>
  <c r="DK39" i="92" s="1"/>
  <c r="DG39" i="92"/>
  <c r="DJ39" i="92" s="1"/>
  <c r="DF39" i="92"/>
  <c r="DI39" i="92" s="1"/>
  <c r="BZ39" i="92"/>
  <c r="BY39" i="92"/>
  <c r="BX39" i="92"/>
  <c r="BW39" i="92"/>
  <c r="BV39" i="92"/>
  <c r="BU39" i="92"/>
  <c r="BT39" i="92"/>
  <c r="BS39" i="92"/>
  <c r="AI39" i="92"/>
  <c r="AH39" i="92"/>
  <c r="AG39" i="92"/>
  <c r="AF39" i="92"/>
  <c r="AE39" i="92"/>
  <c r="AD39" i="92"/>
  <c r="AC39" i="92"/>
  <c r="AB39" i="92"/>
  <c r="AA39" i="92"/>
  <c r="Z39" i="92"/>
  <c r="X39" i="92"/>
  <c r="W39" i="92"/>
  <c r="V39" i="92"/>
  <c r="DH38" i="92"/>
  <c r="DK38" i="92" s="1"/>
  <c r="DG38" i="92"/>
  <c r="DJ38" i="92" s="1"/>
  <c r="DF38" i="92"/>
  <c r="DI38" i="92" s="1"/>
  <c r="BZ38" i="92"/>
  <c r="BY38" i="92"/>
  <c r="BX38" i="92"/>
  <c r="BW38" i="92"/>
  <c r="BV38" i="92"/>
  <c r="BU38" i="92"/>
  <c r="BT38" i="92"/>
  <c r="BS38" i="92"/>
  <c r="AI38" i="92"/>
  <c r="AH38" i="92"/>
  <c r="AG38" i="92"/>
  <c r="AF38" i="92"/>
  <c r="AE38" i="92"/>
  <c r="AD38" i="92"/>
  <c r="AC38" i="92"/>
  <c r="AB38" i="92"/>
  <c r="AA38" i="92"/>
  <c r="Z38" i="92"/>
  <c r="X38" i="92"/>
  <c r="W38" i="92"/>
  <c r="V38" i="92"/>
  <c r="DH37" i="92"/>
  <c r="DK37" i="92" s="1"/>
  <c r="DG37" i="92"/>
  <c r="DJ37" i="92" s="1"/>
  <c r="DF37" i="92"/>
  <c r="DI37" i="92" s="1"/>
  <c r="BZ37" i="92"/>
  <c r="BY37" i="92"/>
  <c r="BX37" i="92"/>
  <c r="BW37" i="92"/>
  <c r="BV37" i="92"/>
  <c r="BU37" i="92"/>
  <c r="BT37" i="92"/>
  <c r="BS37" i="92"/>
  <c r="AI37" i="92"/>
  <c r="AH37" i="92"/>
  <c r="AG37" i="92"/>
  <c r="AF37" i="92"/>
  <c r="AE37" i="92"/>
  <c r="AD37" i="92"/>
  <c r="AC37" i="92"/>
  <c r="AB37" i="92"/>
  <c r="AA37" i="92"/>
  <c r="Z37" i="92"/>
  <c r="X37" i="92"/>
  <c r="W37" i="92"/>
  <c r="V37" i="92"/>
  <c r="DH36" i="92"/>
  <c r="DK36" i="92" s="1"/>
  <c r="DG36" i="92"/>
  <c r="DJ36" i="92" s="1"/>
  <c r="DF36" i="92"/>
  <c r="DI36" i="92" s="1"/>
  <c r="BZ36" i="92"/>
  <c r="BY36" i="92"/>
  <c r="BX36" i="92"/>
  <c r="BW36" i="92"/>
  <c r="BV36" i="92"/>
  <c r="BU36" i="92"/>
  <c r="BT36" i="92"/>
  <c r="BS36" i="92"/>
  <c r="AI36" i="92"/>
  <c r="AH36" i="92"/>
  <c r="AG36" i="92"/>
  <c r="AF36" i="92"/>
  <c r="AE36" i="92"/>
  <c r="AD36" i="92"/>
  <c r="AC36" i="92"/>
  <c r="AB36" i="92"/>
  <c r="AA36" i="92"/>
  <c r="Z36" i="92"/>
  <c r="X36" i="92"/>
  <c r="W36" i="92"/>
  <c r="V36" i="92"/>
  <c r="DH35" i="92"/>
  <c r="DK35" i="92" s="1"/>
  <c r="DG35" i="92"/>
  <c r="DJ35" i="92" s="1"/>
  <c r="DF35" i="92"/>
  <c r="DI35" i="92" s="1"/>
  <c r="BZ35" i="92"/>
  <c r="BY35" i="92"/>
  <c r="BV35" i="92"/>
  <c r="BT35" i="92"/>
  <c r="BS35" i="92"/>
  <c r="AI35" i="92"/>
  <c r="AH35" i="92"/>
  <c r="AE35" i="92"/>
  <c r="AC35" i="92"/>
  <c r="AB35" i="92"/>
  <c r="AA35" i="92"/>
  <c r="Z35" i="92"/>
  <c r="X35" i="92"/>
  <c r="W35" i="92"/>
  <c r="V35" i="92"/>
  <c r="DH34" i="92"/>
  <c r="DK34" i="92" s="1"/>
  <c r="DG34" i="92"/>
  <c r="DJ34" i="92" s="1"/>
  <c r="DF34" i="92"/>
  <c r="DI34" i="92" s="1"/>
  <c r="BZ34" i="92"/>
  <c r="BY34" i="92"/>
  <c r="BX34" i="92"/>
  <c r="BW34" i="92"/>
  <c r="BU34" i="92"/>
  <c r="BT34" i="92"/>
  <c r="BS34" i="92"/>
  <c r="AI34" i="92"/>
  <c r="AH34" i="92"/>
  <c r="AG34" i="92"/>
  <c r="AF34" i="92"/>
  <c r="AD34" i="92"/>
  <c r="AC34" i="92"/>
  <c r="AB34" i="92"/>
  <c r="AA34" i="92"/>
  <c r="Z34" i="92"/>
  <c r="X34" i="92"/>
  <c r="W34" i="92"/>
  <c r="V34" i="92"/>
  <c r="DH33" i="92"/>
  <c r="DK33" i="92" s="1"/>
  <c r="DG33" i="92"/>
  <c r="DJ33" i="92" s="1"/>
  <c r="DF33" i="92"/>
  <c r="DI33" i="92" s="1"/>
  <c r="BZ33" i="92"/>
  <c r="BY33" i="92"/>
  <c r="BW33" i="92"/>
  <c r="BV33" i="92"/>
  <c r="BU33" i="92"/>
  <c r="BT33" i="92"/>
  <c r="BS33" i="92"/>
  <c r="AI33" i="92"/>
  <c r="AH33" i="92"/>
  <c r="AF33" i="92"/>
  <c r="AE33" i="92"/>
  <c r="AD33" i="92"/>
  <c r="AC33" i="92"/>
  <c r="AB33" i="92"/>
  <c r="AA33" i="92"/>
  <c r="Z33" i="92"/>
  <c r="X33" i="92"/>
  <c r="W33" i="92"/>
  <c r="V33" i="92"/>
  <c r="DH32" i="92"/>
  <c r="DK32" i="92" s="1"/>
  <c r="DG32" i="92"/>
  <c r="DJ32" i="92" s="1"/>
  <c r="DF32" i="92"/>
  <c r="DI32" i="92" s="1"/>
  <c r="BZ32" i="92"/>
  <c r="BY32" i="92"/>
  <c r="BX32" i="92"/>
  <c r="BW32" i="92"/>
  <c r="BV32" i="92"/>
  <c r="BU32" i="92"/>
  <c r="BT32" i="92"/>
  <c r="BS32" i="92"/>
  <c r="AI32" i="92"/>
  <c r="AH32" i="92"/>
  <c r="AG32" i="92"/>
  <c r="AF32" i="92"/>
  <c r="AE32" i="92"/>
  <c r="AD32" i="92"/>
  <c r="AC32" i="92"/>
  <c r="AB32" i="92"/>
  <c r="AA32" i="92"/>
  <c r="Z32" i="92"/>
  <c r="X32" i="92"/>
  <c r="W32" i="92"/>
  <c r="V32" i="92"/>
  <c r="DH31" i="92"/>
  <c r="DK31" i="92" s="1"/>
  <c r="DG31" i="92"/>
  <c r="DJ31" i="92" s="1"/>
  <c r="DF31" i="92"/>
  <c r="DI31" i="92" s="1"/>
  <c r="BZ31" i="92"/>
  <c r="BY31" i="92"/>
  <c r="BX31" i="92"/>
  <c r="BW31" i="92"/>
  <c r="BV31" i="92"/>
  <c r="BU31" i="92"/>
  <c r="BT31" i="92"/>
  <c r="BS31" i="92"/>
  <c r="AI31" i="92"/>
  <c r="AH31" i="92"/>
  <c r="AG31" i="92"/>
  <c r="AF31" i="92"/>
  <c r="AE31" i="92"/>
  <c r="AD31" i="92"/>
  <c r="AC31" i="92"/>
  <c r="AB31" i="92"/>
  <c r="AA31" i="92"/>
  <c r="Z31" i="92"/>
  <c r="X31" i="92"/>
  <c r="W31" i="92"/>
  <c r="V31" i="92"/>
  <c r="DH30" i="92"/>
  <c r="DK30" i="92" s="1"/>
  <c r="DG30" i="92"/>
  <c r="DJ30" i="92" s="1"/>
  <c r="DF30" i="92"/>
  <c r="DI30" i="92" s="1"/>
  <c r="BZ30" i="92"/>
  <c r="BY30" i="92"/>
  <c r="BX30" i="92"/>
  <c r="BW30" i="92"/>
  <c r="BV30" i="92"/>
  <c r="BU30" i="92"/>
  <c r="BT30" i="92"/>
  <c r="BS30" i="92"/>
  <c r="AI30" i="92"/>
  <c r="AH30" i="92"/>
  <c r="AG30" i="92"/>
  <c r="AF30" i="92"/>
  <c r="AE30" i="92"/>
  <c r="AD30" i="92"/>
  <c r="AC30" i="92"/>
  <c r="AB30" i="92"/>
  <c r="AA30" i="92"/>
  <c r="Z30" i="92"/>
  <c r="X30" i="92"/>
  <c r="W30" i="92"/>
  <c r="V30" i="92"/>
  <c r="DH29" i="92"/>
  <c r="DK29" i="92" s="1"/>
  <c r="DG29" i="92"/>
  <c r="DJ29" i="92" s="1"/>
  <c r="DF29" i="92"/>
  <c r="DI29" i="92" s="1"/>
  <c r="BZ29" i="92"/>
  <c r="BY29" i="92"/>
  <c r="BX29" i="92"/>
  <c r="BW29" i="92"/>
  <c r="BV29" i="92"/>
  <c r="BU29" i="92"/>
  <c r="BT29" i="92"/>
  <c r="BS29" i="92"/>
  <c r="AI29" i="92"/>
  <c r="AH29" i="92"/>
  <c r="AG29" i="92"/>
  <c r="AF29" i="92"/>
  <c r="AE29" i="92"/>
  <c r="AD29" i="92"/>
  <c r="AC29" i="92"/>
  <c r="AB29" i="92"/>
  <c r="AA29" i="92"/>
  <c r="Z29" i="92"/>
  <c r="X29" i="92"/>
  <c r="W29" i="92"/>
  <c r="V29" i="92"/>
  <c r="DH28" i="92"/>
  <c r="DK28" i="92" s="1"/>
  <c r="DG28" i="92"/>
  <c r="DJ28" i="92" s="1"/>
  <c r="DF28" i="92"/>
  <c r="DI28" i="92" s="1"/>
  <c r="BZ28" i="92"/>
  <c r="BY28" i="92"/>
  <c r="BU28" i="92"/>
  <c r="BT28" i="92"/>
  <c r="BS28" i="92"/>
  <c r="AI28" i="92"/>
  <c r="AH28" i="92"/>
  <c r="AD28" i="92"/>
  <c r="AC28" i="92"/>
  <c r="AB28" i="92"/>
  <c r="AA28" i="92"/>
  <c r="Z28" i="92"/>
  <c r="X28" i="92"/>
  <c r="W28" i="92"/>
  <c r="V28" i="92"/>
  <c r="DH27" i="92"/>
  <c r="DK27" i="92" s="1"/>
  <c r="DG27" i="92"/>
  <c r="DJ27" i="92" s="1"/>
  <c r="DF27" i="92"/>
  <c r="DI27" i="92" s="1"/>
  <c r="BZ27" i="92"/>
  <c r="BY27" i="92"/>
  <c r="BX27" i="92"/>
  <c r="BW27" i="92"/>
  <c r="BV27" i="92"/>
  <c r="BT27" i="92"/>
  <c r="BS27" i="92"/>
  <c r="AI27" i="92"/>
  <c r="AH27" i="92"/>
  <c r="AG27" i="92"/>
  <c r="AF27" i="92"/>
  <c r="AE27" i="92"/>
  <c r="AC27" i="92"/>
  <c r="AB27" i="92"/>
  <c r="AA27" i="92"/>
  <c r="Z27" i="92"/>
  <c r="X27" i="92"/>
  <c r="W27" i="92"/>
  <c r="V27" i="92"/>
  <c r="DH26" i="92"/>
  <c r="DK26" i="92" s="1"/>
  <c r="DG26" i="92"/>
  <c r="DJ26" i="92" s="1"/>
  <c r="DF26" i="92"/>
  <c r="DI26" i="92" s="1"/>
  <c r="BZ26" i="92"/>
  <c r="BY26" i="92"/>
  <c r="BX26" i="92"/>
  <c r="BV26" i="92"/>
  <c r="BU26" i="92"/>
  <c r="BT26" i="92"/>
  <c r="BS26" i="92"/>
  <c r="AI26" i="92"/>
  <c r="AH26" i="92"/>
  <c r="AG26" i="92"/>
  <c r="AE26" i="92"/>
  <c r="AD26" i="92"/>
  <c r="AC26" i="92"/>
  <c r="AB26" i="92"/>
  <c r="AA26" i="92"/>
  <c r="Z26" i="92"/>
  <c r="X26" i="92"/>
  <c r="W26" i="92"/>
  <c r="V26" i="92"/>
  <c r="DH25" i="92"/>
  <c r="DK25" i="92" s="1"/>
  <c r="DG25" i="92"/>
  <c r="DJ25" i="92" s="1"/>
  <c r="DF25" i="92"/>
  <c r="DI25" i="92" s="1"/>
  <c r="BZ25" i="92"/>
  <c r="BY25" i="92"/>
  <c r="BX25" i="92"/>
  <c r="BW25" i="92"/>
  <c r="BV25" i="92"/>
  <c r="BU25" i="92"/>
  <c r="BT25" i="92"/>
  <c r="BS25" i="92"/>
  <c r="AI25" i="92"/>
  <c r="AH25" i="92"/>
  <c r="AG25" i="92"/>
  <c r="AF25" i="92"/>
  <c r="AE25" i="92"/>
  <c r="AD25" i="92"/>
  <c r="AC25" i="92"/>
  <c r="AB25" i="92"/>
  <c r="AA25" i="92"/>
  <c r="Z25" i="92"/>
  <c r="X25" i="92"/>
  <c r="W25" i="92"/>
  <c r="V25" i="92"/>
  <c r="DH24" i="92"/>
  <c r="DK24" i="92" s="1"/>
  <c r="DG24" i="92"/>
  <c r="DJ24" i="92" s="1"/>
  <c r="DF24" i="92"/>
  <c r="DI24" i="92" s="1"/>
  <c r="BZ24" i="92"/>
  <c r="BY24" i="92"/>
  <c r="BX24" i="92"/>
  <c r="BW24" i="92"/>
  <c r="BV24" i="92"/>
  <c r="BU24" i="92"/>
  <c r="BT24" i="92"/>
  <c r="BS24" i="92"/>
  <c r="AI24" i="92"/>
  <c r="AH24" i="92"/>
  <c r="AG24" i="92"/>
  <c r="AF24" i="92"/>
  <c r="AE24" i="92"/>
  <c r="AD24" i="92"/>
  <c r="AC24" i="92"/>
  <c r="AB24" i="92"/>
  <c r="AA24" i="92"/>
  <c r="Z24" i="92"/>
  <c r="X24" i="92"/>
  <c r="W24" i="92"/>
  <c r="V24" i="92"/>
  <c r="DH23" i="92"/>
  <c r="DK23" i="92" s="1"/>
  <c r="DG23" i="92"/>
  <c r="DJ23" i="92" s="1"/>
  <c r="DF23" i="92"/>
  <c r="DI23" i="92" s="1"/>
  <c r="BZ23" i="92"/>
  <c r="BY23" i="92"/>
  <c r="BX23" i="92"/>
  <c r="BW23" i="92"/>
  <c r="BV23" i="92"/>
  <c r="BU23" i="92"/>
  <c r="BT23" i="92"/>
  <c r="BS23" i="92"/>
  <c r="AI23" i="92"/>
  <c r="AH23" i="92"/>
  <c r="AG23" i="92"/>
  <c r="AF23" i="92"/>
  <c r="AE23" i="92"/>
  <c r="AD23" i="92"/>
  <c r="AC23" i="92"/>
  <c r="AB23" i="92"/>
  <c r="AA23" i="92"/>
  <c r="Z23" i="92"/>
  <c r="X23" i="92"/>
  <c r="W23" i="92"/>
  <c r="V23" i="92"/>
  <c r="DH22" i="92"/>
  <c r="DK22" i="92" s="1"/>
  <c r="DG22" i="92"/>
  <c r="DJ22" i="92" s="1"/>
  <c r="DF22" i="92"/>
  <c r="DI22" i="92" s="1"/>
  <c r="BZ22" i="92"/>
  <c r="BY22" i="92"/>
  <c r="BX22" i="92"/>
  <c r="BW22" i="92"/>
  <c r="BV22" i="92"/>
  <c r="BU22" i="92"/>
  <c r="BT22" i="92"/>
  <c r="BS22" i="92"/>
  <c r="AI22" i="92"/>
  <c r="AH22" i="92"/>
  <c r="AG22" i="92"/>
  <c r="AF22" i="92"/>
  <c r="AE22" i="92"/>
  <c r="AD22" i="92"/>
  <c r="AC22" i="92"/>
  <c r="AB22" i="92"/>
  <c r="AA22" i="92"/>
  <c r="Z22" i="92"/>
  <c r="X22" i="92"/>
  <c r="DH21" i="92"/>
  <c r="DK21" i="92" s="1"/>
  <c r="DG21" i="92"/>
  <c r="DJ21" i="92" s="1"/>
  <c r="DF21" i="92"/>
  <c r="DI21" i="92" s="1"/>
  <c r="BZ21" i="92"/>
  <c r="BY21" i="92"/>
  <c r="BX21" i="92"/>
  <c r="BT21" i="92"/>
  <c r="BS21" i="92"/>
  <c r="AI21" i="92"/>
  <c r="AH21" i="92"/>
  <c r="AG21" i="92"/>
  <c r="AC21" i="92"/>
  <c r="AB21" i="92"/>
  <c r="AA21" i="92"/>
  <c r="Z21" i="92"/>
  <c r="X21" i="92"/>
  <c r="W21" i="92"/>
  <c r="V21" i="92"/>
  <c r="DH20" i="92"/>
  <c r="DK20" i="92" s="1"/>
  <c r="DG20" i="92"/>
  <c r="DJ20" i="92" s="1"/>
  <c r="DF20" i="92"/>
  <c r="DI20" i="92" s="1"/>
  <c r="BZ20" i="92"/>
  <c r="BY20" i="92"/>
  <c r="BW20" i="92"/>
  <c r="BV20" i="92"/>
  <c r="BU20" i="92"/>
  <c r="BT20" i="92"/>
  <c r="BS20" i="92"/>
  <c r="AI20" i="92"/>
  <c r="AH20" i="92"/>
  <c r="AF20" i="92"/>
  <c r="AE20" i="92"/>
  <c r="AD20" i="92"/>
  <c r="AC20" i="92"/>
  <c r="AB20" i="92"/>
  <c r="AA20" i="92"/>
  <c r="Z20" i="92"/>
  <c r="X20" i="92"/>
  <c r="W20" i="92"/>
  <c r="V20" i="92"/>
  <c r="DH19" i="92"/>
  <c r="DK19" i="92" s="1"/>
  <c r="DG19" i="92"/>
  <c r="DJ19" i="92" s="1"/>
  <c r="DF19" i="92"/>
  <c r="DI19" i="92" s="1"/>
  <c r="BZ19" i="92"/>
  <c r="BY19" i="92"/>
  <c r="BX19" i="92"/>
  <c r="BW19" i="92"/>
  <c r="BU19" i="92"/>
  <c r="BT19" i="92"/>
  <c r="BS19" i="92"/>
  <c r="AI19" i="92"/>
  <c r="AH19" i="92"/>
  <c r="AG19" i="92"/>
  <c r="AF19" i="92"/>
  <c r="AD19" i="92"/>
  <c r="AC19" i="92"/>
  <c r="AB19" i="92"/>
  <c r="AA19" i="92"/>
  <c r="Z19" i="92"/>
  <c r="X19" i="92"/>
  <c r="W19" i="92"/>
  <c r="V19" i="92"/>
  <c r="DH18" i="92"/>
  <c r="DK18" i="92" s="1"/>
  <c r="DG18" i="92"/>
  <c r="DJ18" i="92" s="1"/>
  <c r="DF18" i="92"/>
  <c r="DI18" i="92" s="1"/>
  <c r="BZ18" i="92"/>
  <c r="BY18" i="92"/>
  <c r="BX18" i="92"/>
  <c r="BW18" i="92"/>
  <c r="BV18" i="92"/>
  <c r="BU18" i="92"/>
  <c r="BT18" i="92"/>
  <c r="BS18" i="92"/>
  <c r="AI18" i="92"/>
  <c r="AH18" i="92"/>
  <c r="AG18" i="92"/>
  <c r="AF18" i="92"/>
  <c r="AE18" i="92"/>
  <c r="AD18" i="92"/>
  <c r="AC18" i="92"/>
  <c r="AB18" i="92"/>
  <c r="AA18" i="92"/>
  <c r="Z18" i="92"/>
  <c r="X18" i="92"/>
  <c r="W18" i="92"/>
  <c r="V18" i="92"/>
  <c r="DH17" i="92"/>
  <c r="DK17" i="92" s="1"/>
  <c r="DG17" i="92"/>
  <c r="DJ17" i="92" s="1"/>
  <c r="DF17" i="92"/>
  <c r="DI17" i="92" s="1"/>
  <c r="BZ17" i="92"/>
  <c r="BY17" i="92"/>
  <c r="BX17" i="92"/>
  <c r="BW17" i="92"/>
  <c r="BV17" i="92"/>
  <c r="BU17" i="92"/>
  <c r="BT17" i="92"/>
  <c r="BS17" i="92"/>
  <c r="AI17" i="92"/>
  <c r="AH17" i="92"/>
  <c r="AG17" i="92"/>
  <c r="AF17" i="92"/>
  <c r="AE17" i="92"/>
  <c r="AD17" i="92"/>
  <c r="AC17" i="92"/>
  <c r="AB17" i="92"/>
  <c r="AA17" i="92"/>
  <c r="Z17" i="92"/>
  <c r="X17" i="92"/>
  <c r="W17" i="92"/>
  <c r="V17" i="92"/>
  <c r="DH16" i="92"/>
  <c r="DK16" i="92" s="1"/>
  <c r="DG16" i="92"/>
  <c r="DJ16" i="92" s="1"/>
  <c r="DF16" i="92"/>
  <c r="DI16" i="92" s="1"/>
  <c r="BZ16" i="92"/>
  <c r="BY16" i="92"/>
  <c r="BX16" i="92"/>
  <c r="BW16" i="92"/>
  <c r="BV16" i="92"/>
  <c r="BU16" i="92"/>
  <c r="BT16" i="92"/>
  <c r="BS16" i="92"/>
  <c r="AI16" i="92"/>
  <c r="AH16" i="92"/>
  <c r="AG16" i="92"/>
  <c r="AF16" i="92"/>
  <c r="AE16" i="92"/>
  <c r="AD16" i="92"/>
  <c r="AC16" i="92"/>
  <c r="AB16" i="92"/>
  <c r="AA16" i="92"/>
  <c r="Z16" i="92"/>
  <c r="X16" i="92"/>
  <c r="W16" i="92"/>
  <c r="V16" i="92"/>
  <c r="DH15" i="92"/>
  <c r="DK15" i="92" s="1"/>
  <c r="DG15" i="92"/>
  <c r="DJ15" i="92" s="1"/>
  <c r="DF15" i="92"/>
  <c r="DI15" i="92" s="1"/>
  <c r="BZ15" i="92"/>
  <c r="BY15" i="92"/>
  <c r="BX15" i="92"/>
  <c r="BW15" i="92"/>
  <c r="BV15" i="92"/>
  <c r="BU15" i="92"/>
  <c r="BT15" i="92"/>
  <c r="BS15" i="92"/>
  <c r="AI15" i="92"/>
  <c r="AH15" i="92"/>
  <c r="AG15" i="92"/>
  <c r="AF15" i="92"/>
  <c r="AE15" i="92"/>
  <c r="AD15" i="92"/>
  <c r="AC15" i="92"/>
  <c r="AB15" i="92"/>
  <c r="AA15" i="92"/>
  <c r="Z15" i="92"/>
  <c r="X15" i="92"/>
  <c r="W15" i="92"/>
  <c r="V15" i="92"/>
  <c r="A15" i="92"/>
  <c r="A11" i="92"/>
  <c r="A1" i="92"/>
  <c r="AW85" i="91"/>
  <c r="CN85" i="91" s="1"/>
  <c r="AW84" i="91"/>
  <c r="CN84" i="91" s="1"/>
  <c r="AW83" i="91"/>
  <c r="CN83" i="91" s="1"/>
  <c r="AW82" i="91"/>
  <c r="CN82" i="91" s="1"/>
  <c r="A57" i="91"/>
  <c r="A53" i="91"/>
  <c r="A52" i="91"/>
  <c r="A51" i="91"/>
  <c r="A50" i="91"/>
  <c r="A48" i="91"/>
  <c r="DK46" i="91"/>
  <c r="DJ46" i="91"/>
  <c r="U46" i="91"/>
  <c r="T46" i="91"/>
  <c r="S46" i="91"/>
  <c r="M46" i="91"/>
  <c r="DH45" i="91"/>
  <c r="DK45" i="91" s="1"/>
  <c r="DG45" i="91"/>
  <c r="DJ45" i="91" s="1"/>
  <c r="DF45" i="91"/>
  <c r="DI45" i="91" s="1"/>
  <c r="BZ45" i="91"/>
  <c r="BY45" i="91"/>
  <c r="BW45" i="91"/>
  <c r="BT45" i="91"/>
  <c r="BS45" i="91"/>
  <c r="BR45" i="91"/>
  <c r="BP45" i="91"/>
  <c r="AI45" i="91"/>
  <c r="AH45" i="91"/>
  <c r="AF45" i="91"/>
  <c r="AC45" i="91"/>
  <c r="AB45" i="91"/>
  <c r="AA45" i="91"/>
  <c r="Z45" i="91"/>
  <c r="X45" i="91"/>
  <c r="W45" i="91"/>
  <c r="V45" i="91"/>
  <c r="DH44" i="91"/>
  <c r="DK44" i="91" s="1"/>
  <c r="DG44" i="91"/>
  <c r="DJ44" i="91" s="1"/>
  <c r="DF44" i="91"/>
  <c r="DI44" i="91" s="1"/>
  <c r="BZ44" i="91"/>
  <c r="BY44" i="91"/>
  <c r="BX44" i="91"/>
  <c r="BV44" i="91"/>
  <c r="BU44" i="91"/>
  <c r="BT44" i="91"/>
  <c r="BS44" i="91"/>
  <c r="BR44" i="91"/>
  <c r="BP44" i="91"/>
  <c r="AI44" i="91"/>
  <c r="AH44" i="91"/>
  <c r="AG44" i="91"/>
  <c r="AE44" i="91"/>
  <c r="AD44" i="91"/>
  <c r="AC44" i="91"/>
  <c r="AB44" i="91"/>
  <c r="AA44" i="91"/>
  <c r="Z44" i="91"/>
  <c r="X44" i="91"/>
  <c r="W44" i="91"/>
  <c r="V44" i="91"/>
  <c r="DH43" i="91"/>
  <c r="DK43" i="91" s="1"/>
  <c r="DG43" i="91"/>
  <c r="DJ43" i="91" s="1"/>
  <c r="DF43" i="91"/>
  <c r="DI43" i="91" s="1"/>
  <c r="BZ43" i="91"/>
  <c r="BY43" i="91"/>
  <c r="BX43" i="91"/>
  <c r="BW43" i="91"/>
  <c r="BV43" i="91"/>
  <c r="BT43" i="91"/>
  <c r="BS43" i="91"/>
  <c r="BR43" i="91"/>
  <c r="BP43" i="91"/>
  <c r="AI43" i="91"/>
  <c r="AH43" i="91"/>
  <c r="AG43" i="91"/>
  <c r="AF43" i="91"/>
  <c r="AE43" i="91"/>
  <c r="AC43" i="91"/>
  <c r="AB43" i="91"/>
  <c r="AA43" i="91"/>
  <c r="Z43" i="91"/>
  <c r="X43" i="91"/>
  <c r="W43" i="91"/>
  <c r="V43" i="91"/>
  <c r="DH42" i="91"/>
  <c r="DK42" i="91" s="1"/>
  <c r="DG42" i="91"/>
  <c r="DJ42" i="91" s="1"/>
  <c r="DF42" i="91"/>
  <c r="DI42" i="91" s="1"/>
  <c r="BZ42" i="91"/>
  <c r="BY42" i="91"/>
  <c r="BX42" i="91"/>
  <c r="BW42" i="91"/>
  <c r="BV42" i="91"/>
  <c r="BU42" i="91"/>
  <c r="BT42" i="91"/>
  <c r="BS42" i="91"/>
  <c r="BR42" i="91"/>
  <c r="BP42" i="91"/>
  <c r="AI42" i="91"/>
  <c r="AH42" i="91"/>
  <c r="AG42" i="91"/>
  <c r="AF42" i="91"/>
  <c r="AE42" i="91"/>
  <c r="AD42" i="91"/>
  <c r="AC42" i="91"/>
  <c r="AB42" i="91"/>
  <c r="AA42" i="91"/>
  <c r="Z42" i="91"/>
  <c r="X42" i="91"/>
  <c r="W42" i="91"/>
  <c r="V42" i="91"/>
  <c r="DH41" i="91"/>
  <c r="DK41" i="91" s="1"/>
  <c r="DG41" i="91"/>
  <c r="DJ41" i="91" s="1"/>
  <c r="DF41" i="91"/>
  <c r="DI41" i="91" s="1"/>
  <c r="BZ41" i="91"/>
  <c r="BY41" i="91"/>
  <c r="BX41" i="91"/>
  <c r="BW41" i="91"/>
  <c r="BV41" i="91"/>
  <c r="BU41" i="91"/>
  <c r="BT41" i="91"/>
  <c r="BS41" i="91"/>
  <c r="BR41" i="91"/>
  <c r="BP41" i="91"/>
  <c r="AI41" i="91"/>
  <c r="AH41" i="91"/>
  <c r="AG41" i="91"/>
  <c r="AF41" i="91"/>
  <c r="AE41" i="91"/>
  <c r="AD41" i="91"/>
  <c r="AC41" i="91"/>
  <c r="AB41" i="91"/>
  <c r="AA41" i="91"/>
  <c r="Z41" i="91"/>
  <c r="X41" i="91"/>
  <c r="W41" i="91"/>
  <c r="V41" i="91"/>
  <c r="DH40" i="91"/>
  <c r="DK40" i="91" s="1"/>
  <c r="DG40" i="91"/>
  <c r="DJ40" i="91" s="1"/>
  <c r="DF40" i="91"/>
  <c r="DI40" i="91" s="1"/>
  <c r="BZ40" i="91"/>
  <c r="BY40" i="91"/>
  <c r="BX40" i="91"/>
  <c r="BW40" i="91"/>
  <c r="BV40" i="91"/>
  <c r="BU40" i="91"/>
  <c r="BT40" i="91"/>
  <c r="BS40" i="91"/>
  <c r="BR40" i="91"/>
  <c r="BP40" i="91"/>
  <c r="AI40" i="91"/>
  <c r="AH40" i="91"/>
  <c r="AG40" i="91"/>
  <c r="AF40" i="91"/>
  <c r="AE40" i="91"/>
  <c r="AD40" i="91"/>
  <c r="AC40" i="91"/>
  <c r="AB40" i="91"/>
  <c r="AA40" i="91"/>
  <c r="Z40" i="91"/>
  <c r="X40" i="91"/>
  <c r="W40" i="91"/>
  <c r="V40" i="91"/>
  <c r="DH39" i="91"/>
  <c r="DK39" i="91" s="1"/>
  <c r="DG39" i="91"/>
  <c r="DJ39" i="91" s="1"/>
  <c r="DF39" i="91"/>
  <c r="DI39" i="91" s="1"/>
  <c r="BZ39" i="91"/>
  <c r="BY39" i="91"/>
  <c r="BX39" i="91"/>
  <c r="BW39" i="91"/>
  <c r="BV39" i="91"/>
  <c r="BU39" i="91"/>
  <c r="BT39" i="91"/>
  <c r="BS39" i="91"/>
  <c r="BR39" i="91"/>
  <c r="BP39" i="91"/>
  <c r="AI39" i="91"/>
  <c r="AH39" i="91"/>
  <c r="AG39" i="91"/>
  <c r="AF39" i="91"/>
  <c r="AE39" i="91"/>
  <c r="AD39" i="91"/>
  <c r="AC39" i="91"/>
  <c r="AB39" i="91"/>
  <c r="AA39" i="91"/>
  <c r="Z39" i="91"/>
  <c r="X39" i="91"/>
  <c r="W39" i="91"/>
  <c r="V39" i="91"/>
  <c r="DH38" i="91"/>
  <c r="DK38" i="91" s="1"/>
  <c r="DG38" i="91"/>
  <c r="DJ38" i="91" s="1"/>
  <c r="DF38" i="91"/>
  <c r="DI38" i="91" s="1"/>
  <c r="BZ38" i="91"/>
  <c r="BY38" i="91"/>
  <c r="BV38" i="91"/>
  <c r="BT38" i="91"/>
  <c r="BS38" i="91"/>
  <c r="BR38" i="91"/>
  <c r="BP38" i="91"/>
  <c r="AI38" i="91"/>
  <c r="AH38" i="91"/>
  <c r="AE38" i="91"/>
  <c r="AC38" i="91"/>
  <c r="AB38" i="91"/>
  <c r="AA38" i="91"/>
  <c r="Z38" i="91"/>
  <c r="X38" i="91"/>
  <c r="W38" i="91"/>
  <c r="V38" i="91"/>
  <c r="DH37" i="91"/>
  <c r="DK37" i="91" s="1"/>
  <c r="DG37" i="91"/>
  <c r="DJ37" i="91" s="1"/>
  <c r="DF37" i="91"/>
  <c r="DI37" i="91" s="1"/>
  <c r="BZ37" i="91"/>
  <c r="BY37" i="91"/>
  <c r="BX37" i="91"/>
  <c r="BW37" i="91"/>
  <c r="BU37" i="91"/>
  <c r="BT37" i="91"/>
  <c r="BS37" i="91"/>
  <c r="BR37" i="91"/>
  <c r="BP37" i="91"/>
  <c r="AI37" i="91"/>
  <c r="AH37" i="91"/>
  <c r="AG37" i="91"/>
  <c r="AF37" i="91"/>
  <c r="AD37" i="91"/>
  <c r="AC37" i="91"/>
  <c r="AB37" i="91"/>
  <c r="AA37" i="91"/>
  <c r="Z37" i="91"/>
  <c r="X37" i="91"/>
  <c r="W37" i="91"/>
  <c r="V37" i="91"/>
  <c r="DH36" i="91"/>
  <c r="DK36" i="91" s="1"/>
  <c r="DG36" i="91"/>
  <c r="DJ36" i="91" s="1"/>
  <c r="DF36" i="91"/>
  <c r="DI36" i="91" s="1"/>
  <c r="BZ36" i="91"/>
  <c r="BY36" i="91"/>
  <c r="BW36" i="91"/>
  <c r="BV36" i="91"/>
  <c r="BU36" i="91"/>
  <c r="BT36" i="91"/>
  <c r="BS36" i="91"/>
  <c r="BR36" i="91"/>
  <c r="BP36" i="91"/>
  <c r="AI36" i="91"/>
  <c r="AH36" i="91"/>
  <c r="AF36" i="91"/>
  <c r="AE36" i="91"/>
  <c r="AD36" i="91"/>
  <c r="AC36" i="91"/>
  <c r="AB36" i="91"/>
  <c r="AA36" i="91"/>
  <c r="Z36" i="91"/>
  <c r="X36" i="91"/>
  <c r="W36" i="91"/>
  <c r="V36" i="91"/>
  <c r="DH35" i="91"/>
  <c r="DK35" i="91" s="1"/>
  <c r="DG35" i="91"/>
  <c r="DJ35" i="91" s="1"/>
  <c r="DF35" i="91"/>
  <c r="DI35" i="91" s="1"/>
  <c r="BZ35" i="91"/>
  <c r="BY35" i="91"/>
  <c r="BX35" i="91"/>
  <c r="BW35" i="91"/>
  <c r="BV35" i="91"/>
  <c r="BU35" i="91"/>
  <c r="BT35" i="91"/>
  <c r="BS35" i="91"/>
  <c r="BR35" i="91"/>
  <c r="BP35" i="91"/>
  <c r="AI35" i="91"/>
  <c r="AH35" i="91"/>
  <c r="AG35" i="91"/>
  <c r="AF35" i="91"/>
  <c r="AE35" i="91"/>
  <c r="AD35" i="91"/>
  <c r="AC35" i="91"/>
  <c r="AB35" i="91"/>
  <c r="AA35" i="91"/>
  <c r="Z35" i="91"/>
  <c r="X35" i="91"/>
  <c r="W35" i="91"/>
  <c r="V35" i="91"/>
  <c r="DH34" i="91"/>
  <c r="DK34" i="91" s="1"/>
  <c r="DG34" i="91"/>
  <c r="DJ34" i="91" s="1"/>
  <c r="DF34" i="91"/>
  <c r="DI34" i="91" s="1"/>
  <c r="BZ34" i="91"/>
  <c r="BY34" i="91"/>
  <c r="BX34" i="91"/>
  <c r="BW34" i="91"/>
  <c r="BV34" i="91"/>
  <c r="BU34" i="91"/>
  <c r="BT34" i="91"/>
  <c r="BS34" i="91"/>
  <c r="BR34" i="91"/>
  <c r="BP34" i="91"/>
  <c r="AI34" i="91"/>
  <c r="AH34" i="91"/>
  <c r="AG34" i="91"/>
  <c r="AF34" i="91"/>
  <c r="AE34" i="91"/>
  <c r="AD34" i="91"/>
  <c r="AC34" i="91"/>
  <c r="AB34" i="91"/>
  <c r="AA34" i="91"/>
  <c r="Z34" i="91"/>
  <c r="X34" i="91"/>
  <c r="W34" i="91"/>
  <c r="V34" i="91"/>
  <c r="DH33" i="91"/>
  <c r="DK33" i="91" s="1"/>
  <c r="DG33" i="91"/>
  <c r="DJ33" i="91" s="1"/>
  <c r="DF33" i="91"/>
  <c r="DI33" i="91" s="1"/>
  <c r="BZ33" i="91"/>
  <c r="BY33" i="91"/>
  <c r="BX33" i="91"/>
  <c r="BW33" i="91"/>
  <c r="BV33" i="91"/>
  <c r="BU33" i="91"/>
  <c r="BT33" i="91"/>
  <c r="BS33" i="91"/>
  <c r="BR33" i="91"/>
  <c r="BP33" i="91"/>
  <c r="AI33" i="91"/>
  <c r="AH33" i="91"/>
  <c r="AG33" i="91"/>
  <c r="AF33" i="91"/>
  <c r="AE33" i="91"/>
  <c r="AD33" i="91"/>
  <c r="AC33" i="91"/>
  <c r="AB33" i="91"/>
  <c r="AA33" i="91"/>
  <c r="Z33" i="91"/>
  <c r="X33" i="91"/>
  <c r="W33" i="91"/>
  <c r="V33" i="91"/>
  <c r="DH32" i="91"/>
  <c r="DK32" i="91" s="1"/>
  <c r="DG32" i="91"/>
  <c r="DJ32" i="91" s="1"/>
  <c r="DF32" i="91"/>
  <c r="DI32" i="91" s="1"/>
  <c r="BZ32" i="91"/>
  <c r="BY32" i="91"/>
  <c r="BX32" i="91"/>
  <c r="BW32" i="91"/>
  <c r="BV32" i="91"/>
  <c r="BU32" i="91"/>
  <c r="BT32" i="91"/>
  <c r="BS32" i="91"/>
  <c r="BR32" i="91"/>
  <c r="BP32" i="91"/>
  <c r="AI32" i="91"/>
  <c r="AH32" i="91"/>
  <c r="AG32" i="91"/>
  <c r="AF32" i="91"/>
  <c r="AE32" i="91"/>
  <c r="AD32" i="91"/>
  <c r="AC32" i="91"/>
  <c r="AB32" i="91"/>
  <c r="AA32" i="91"/>
  <c r="Z32" i="91"/>
  <c r="X32" i="91"/>
  <c r="W32" i="91"/>
  <c r="V32" i="91"/>
  <c r="DH31" i="91"/>
  <c r="DK31" i="91" s="1"/>
  <c r="DG31" i="91"/>
  <c r="DJ31" i="91" s="1"/>
  <c r="DF31" i="91"/>
  <c r="DI31" i="91" s="1"/>
  <c r="BZ31" i="91"/>
  <c r="BY31" i="91"/>
  <c r="BU31" i="91"/>
  <c r="BT31" i="91"/>
  <c r="BS31" i="91"/>
  <c r="BR31" i="91"/>
  <c r="BP31" i="91"/>
  <c r="AI31" i="91"/>
  <c r="AH31" i="91"/>
  <c r="AD31" i="91"/>
  <c r="AC31" i="91"/>
  <c r="AB31" i="91"/>
  <c r="AA31" i="91"/>
  <c r="Z31" i="91"/>
  <c r="X31" i="91"/>
  <c r="W31" i="91"/>
  <c r="V31" i="91"/>
  <c r="DH30" i="91"/>
  <c r="DK30" i="91" s="1"/>
  <c r="DG30" i="91"/>
  <c r="DJ30" i="91" s="1"/>
  <c r="DF30" i="91"/>
  <c r="DI30" i="91" s="1"/>
  <c r="BZ30" i="91"/>
  <c r="BY30" i="91"/>
  <c r="BX30" i="91"/>
  <c r="BW30" i="91"/>
  <c r="BV30" i="91"/>
  <c r="BT30" i="91"/>
  <c r="BS30" i="91"/>
  <c r="BR30" i="91"/>
  <c r="BP30" i="91"/>
  <c r="AI30" i="91"/>
  <c r="AH30" i="91"/>
  <c r="AG30" i="91"/>
  <c r="AF30" i="91"/>
  <c r="AE30" i="91"/>
  <c r="AC30" i="91"/>
  <c r="AB30" i="91"/>
  <c r="AA30" i="91"/>
  <c r="Z30" i="91"/>
  <c r="X30" i="91"/>
  <c r="W30" i="91"/>
  <c r="V30" i="91"/>
  <c r="DH29" i="91"/>
  <c r="DK29" i="91" s="1"/>
  <c r="DG29" i="91"/>
  <c r="DJ29" i="91" s="1"/>
  <c r="DF29" i="91"/>
  <c r="DI29" i="91" s="1"/>
  <c r="BZ29" i="91"/>
  <c r="BY29" i="91"/>
  <c r="BX29" i="91"/>
  <c r="BV29" i="91"/>
  <c r="BU29" i="91"/>
  <c r="BT29" i="91"/>
  <c r="BS29" i="91"/>
  <c r="BR29" i="91"/>
  <c r="BP29" i="91"/>
  <c r="AI29" i="91"/>
  <c r="AH29" i="91"/>
  <c r="AG29" i="91"/>
  <c r="AE29" i="91"/>
  <c r="AD29" i="91"/>
  <c r="AC29" i="91"/>
  <c r="AB29" i="91"/>
  <c r="AA29" i="91"/>
  <c r="Z29" i="91"/>
  <c r="X29" i="91"/>
  <c r="W29" i="91"/>
  <c r="V29" i="91"/>
  <c r="DH28" i="91"/>
  <c r="DK28" i="91" s="1"/>
  <c r="DG28" i="91"/>
  <c r="DJ28" i="91" s="1"/>
  <c r="DF28" i="91"/>
  <c r="DI28" i="91" s="1"/>
  <c r="BZ28" i="91"/>
  <c r="BY28" i="91"/>
  <c r="BX28" i="91"/>
  <c r="BW28" i="91"/>
  <c r="BV28" i="91"/>
  <c r="BU28" i="91"/>
  <c r="BT28" i="91"/>
  <c r="BS28" i="91"/>
  <c r="BR28" i="91"/>
  <c r="BP28" i="91"/>
  <c r="AI28" i="91"/>
  <c r="AH28" i="91"/>
  <c r="AG28" i="91"/>
  <c r="AF28" i="91"/>
  <c r="AE28" i="91"/>
  <c r="AD28" i="91"/>
  <c r="AC28" i="91"/>
  <c r="AB28" i="91"/>
  <c r="AA28" i="91"/>
  <c r="Z28" i="91"/>
  <c r="X28" i="91"/>
  <c r="W28" i="91"/>
  <c r="V28" i="91"/>
  <c r="DH27" i="91"/>
  <c r="DK27" i="91" s="1"/>
  <c r="DG27" i="91"/>
  <c r="DJ27" i="91" s="1"/>
  <c r="DF27" i="91"/>
  <c r="DI27" i="91" s="1"/>
  <c r="BZ27" i="91"/>
  <c r="BY27" i="91"/>
  <c r="BX27" i="91"/>
  <c r="BW27" i="91"/>
  <c r="BV27" i="91"/>
  <c r="BU27" i="91"/>
  <c r="BT27" i="91"/>
  <c r="BS27" i="91"/>
  <c r="BR27" i="91"/>
  <c r="BP27" i="91"/>
  <c r="AI27" i="91"/>
  <c r="AH27" i="91"/>
  <c r="AG27" i="91"/>
  <c r="AF27" i="91"/>
  <c r="AE27" i="91"/>
  <c r="AD27" i="91"/>
  <c r="AC27" i="91"/>
  <c r="AB27" i="91"/>
  <c r="AA27" i="91"/>
  <c r="Z27" i="91"/>
  <c r="X27" i="91"/>
  <c r="W27" i="91"/>
  <c r="V27" i="91"/>
  <c r="DH26" i="91"/>
  <c r="DK26" i="91" s="1"/>
  <c r="DG26" i="91"/>
  <c r="DJ26" i="91" s="1"/>
  <c r="DF26" i="91"/>
  <c r="DI26" i="91" s="1"/>
  <c r="BZ26" i="91"/>
  <c r="BY26" i="91"/>
  <c r="BX26" i="91"/>
  <c r="BW26" i="91"/>
  <c r="BV26" i="91"/>
  <c r="BU26" i="91"/>
  <c r="BT26" i="91"/>
  <c r="BS26" i="91"/>
  <c r="BR26" i="91"/>
  <c r="BP26" i="91"/>
  <c r="AI26" i="91"/>
  <c r="AH26" i="91"/>
  <c r="AG26" i="91"/>
  <c r="AF26" i="91"/>
  <c r="AE26" i="91"/>
  <c r="AD26" i="91"/>
  <c r="AC26" i="91"/>
  <c r="AB26" i="91"/>
  <c r="AA26" i="91"/>
  <c r="Z26" i="91"/>
  <c r="X26" i="91"/>
  <c r="W26" i="91"/>
  <c r="V26" i="91"/>
  <c r="DH25" i="91"/>
  <c r="DK25" i="91" s="1"/>
  <c r="DG25" i="91"/>
  <c r="DJ25" i="91" s="1"/>
  <c r="DF25" i="91"/>
  <c r="DI25" i="91" s="1"/>
  <c r="BZ25" i="91"/>
  <c r="BY25" i="91"/>
  <c r="BX25" i="91"/>
  <c r="BW25" i="91"/>
  <c r="BV25" i="91"/>
  <c r="BU25" i="91"/>
  <c r="BT25" i="91"/>
  <c r="BS25" i="91"/>
  <c r="BR25" i="91"/>
  <c r="BP25" i="91"/>
  <c r="AI25" i="91"/>
  <c r="AH25" i="91"/>
  <c r="AG25" i="91"/>
  <c r="AF25" i="91"/>
  <c r="AE25" i="91"/>
  <c r="AD25" i="91"/>
  <c r="AC25" i="91"/>
  <c r="AB25" i="91"/>
  <c r="AA25" i="91"/>
  <c r="Z25" i="91"/>
  <c r="X25" i="91"/>
  <c r="W25" i="91"/>
  <c r="V25" i="91"/>
  <c r="DH24" i="91"/>
  <c r="DK24" i="91" s="1"/>
  <c r="DG24" i="91"/>
  <c r="DJ24" i="91" s="1"/>
  <c r="DF24" i="91"/>
  <c r="DI24" i="91" s="1"/>
  <c r="BZ24" i="91"/>
  <c r="BY24" i="91"/>
  <c r="BX24" i="91"/>
  <c r="BW24" i="91"/>
  <c r="BV24" i="91"/>
  <c r="BU24" i="91"/>
  <c r="BT24" i="91"/>
  <c r="BS24" i="91"/>
  <c r="BR24" i="91"/>
  <c r="BP24" i="91"/>
  <c r="AI24" i="91"/>
  <c r="AH24" i="91"/>
  <c r="AG24" i="91"/>
  <c r="AF24" i="91"/>
  <c r="AE24" i="91"/>
  <c r="AD24" i="91"/>
  <c r="AC24" i="91"/>
  <c r="AB24" i="91"/>
  <c r="AA24" i="91"/>
  <c r="Z24" i="91"/>
  <c r="X24" i="91"/>
  <c r="W24" i="91"/>
  <c r="V24" i="91"/>
  <c r="DH23" i="91"/>
  <c r="DK23" i="91" s="1"/>
  <c r="DG23" i="91"/>
  <c r="DJ23" i="91" s="1"/>
  <c r="DF23" i="91"/>
  <c r="DI23" i="91" s="1"/>
  <c r="BZ23" i="91"/>
  <c r="BY23" i="91"/>
  <c r="BW23" i="91"/>
  <c r="BV23" i="91"/>
  <c r="BU23" i="91"/>
  <c r="BT23" i="91"/>
  <c r="BS23" i="91"/>
  <c r="BR23" i="91"/>
  <c r="BP23" i="91"/>
  <c r="AI23" i="91"/>
  <c r="AH23" i="91"/>
  <c r="AF23" i="91"/>
  <c r="AE23" i="91"/>
  <c r="AD23" i="91"/>
  <c r="AC23" i="91"/>
  <c r="AB23" i="91"/>
  <c r="AA23" i="91"/>
  <c r="Z23" i="91"/>
  <c r="X23" i="91"/>
  <c r="W23" i="91"/>
  <c r="V23" i="91"/>
  <c r="DH22" i="91"/>
  <c r="DK22" i="91" s="1"/>
  <c r="DG22" i="91"/>
  <c r="DJ22" i="91" s="1"/>
  <c r="DF22" i="91"/>
  <c r="DI22" i="91" s="1"/>
  <c r="BZ22" i="91"/>
  <c r="BY22" i="91"/>
  <c r="BX22" i="91"/>
  <c r="BW22" i="91"/>
  <c r="BU22" i="91"/>
  <c r="BT22" i="91"/>
  <c r="BS22" i="91"/>
  <c r="BR22" i="91"/>
  <c r="BP22" i="91"/>
  <c r="AI22" i="91"/>
  <c r="AH22" i="91"/>
  <c r="AG22" i="91"/>
  <c r="AF22" i="91"/>
  <c r="AD22" i="91"/>
  <c r="AC22" i="91"/>
  <c r="AB22" i="91"/>
  <c r="AA22" i="91"/>
  <c r="Z22" i="91"/>
  <c r="X22" i="91"/>
  <c r="DH21" i="91"/>
  <c r="DK21" i="91" s="1"/>
  <c r="DG21" i="91"/>
  <c r="DJ21" i="91" s="1"/>
  <c r="DF21" i="91"/>
  <c r="DI21" i="91" s="1"/>
  <c r="BZ21" i="91"/>
  <c r="BY21" i="91"/>
  <c r="BX21" i="91"/>
  <c r="BW21" i="91"/>
  <c r="BV21" i="91"/>
  <c r="BU21" i="91"/>
  <c r="BT21" i="91"/>
  <c r="BS21" i="91"/>
  <c r="BR21" i="91"/>
  <c r="BP21" i="91"/>
  <c r="AI21" i="91"/>
  <c r="AH21" i="91"/>
  <c r="AG21" i="91"/>
  <c r="AF21" i="91"/>
  <c r="AE21" i="91"/>
  <c r="AD21" i="91"/>
  <c r="AC21" i="91"/>
  <c r="AB21" i="91"/>
  <c r="AA21" i="91"/>
  <c r="Z21" i="91"/>
  <c r="X21" i="91"/>
  <c r="W21" i="91"/>
  <c r="V21" i="91"/>
  <c r="DH20" i="91"/>
  <c r="DK20" i="91" s="1"/>
  <c r="DG20" i="91"/>
  <c r="DJ20" i="91" s="1"/>
  <c r="DF20" i="91"/>
  <c r="DI20" i="91" s="1"/>
  <c r="BZ20" i="91"/>
  <c r="BY20" i="91"/>
  <c r="BX20" i="91"/>
  <c r="BW20" i="91"/>
  <c r="BV20" i="91"/>
  <c r="BU20" i="91"/>
  <c r="BT20" i="91"/>
  <c r="BS20" i="91"/>
  <c r="BR20" i="91"/>
  <c r="BP20" i="91"/>
  <c r="AI20" i="91"/>
  <c r="AH20" i="91"/>
  <c r="AG20" i="91"/>
  <c r="AF20" i="91"/>
  <c r="AE20" i="91"/>
  <c r="AD20" i="91"/>
  <c r="AC20" i="91"/>
  <c r="AB20" i="91"/>
  <c r="AA20" i="91"/>
  <c r="Z20" i="91"/>
  <c r="X20" i="91"/>
  <c r="W20" i="91"/>
  <c r="V20" i="91"/>
  <c r="DH19" i="91"/>
  <c r="DK19" i="91" s="1"/>
  <c r="DG19" i="91"/>
  <c r="DJ19" i="91" s="1"/>
  <c r="DF19" i="91"/>
  <c r="DI19" i="91" s="1"/>
  <c r="BZ19" i="91"/>
  <c r="BY19" i="91"/>
  <c r="BX19" i="91"/>
  <c r="BW19" i="91"/>
  <c r="BV19" i="91"/>
  <c r="BU19" i="91"/>
  <c r="BT19" i="91"/>
  <c r="BS19" i="91"/>
  <c r="BR19" i="91"/>
  <c r="BP19" i="91"/>
  <c r="AI19" i="91"/>
  <c r="AH19" i="91"/>
  <c r="AG19" i="91"/>
  <c r="AF19" i="91"/>
  <c r="AE19" i="91"/>
  <c r="AD19" i="91"/>
  <c r="AC19" i="91"/>
  <c r="AB19" i="91"/>
  <c r="AA19" i="91"/>
  <c r="Z19" i="91"/>
  <c r="X19" i="91"/>
  <c r="W19" i="91"/>
  <c r="V19" i="91"/>
  <c r="DH18" i="91"/>
  <c r="DK18" i="91" s="1"/>
  <c r="DG18" i="91"/>
  <c r="DJ18" i="91" s="1"/>
  <c r="DF18" i="91"/>
  <c r="DI18" i="91" s="1"/>
  <c r="BZ18" i="91"/>
  <c r="BY18" i="91"/>
  <c r="BX18" i="91"/>
  <c r="BW18" i="91"/>
  <c r="BV18" i="91"/>
  <c r="BU18" i="91"/>
  <c r="BT18" i="91"/>
  <c r="BS18" i="91"/>
  <c r="BR18" i="91"/>
  <c r="BP18" i="91"/>
  <c r="AI18" i="91"/>
  <c r="AH18" i="91"/>
  <c r="AG18" i="91"/>
  <c r="AF18" i="91"/>
  <c r="AE18" i="91"/>
  <c r="AD18" i="91"/>
  <c r="AC18" i="91"/>
  <c r="AB18" i="91"/>
  <c r="AA18" i="91"/>
  <c r="Z18" i="91"/>
  <c r="X18" i="91"/>
  <c r="W18" i="91"/>
  <c r="V18" i="91"/>
  <c r="DH17" i="91"/>
  <c r="DK17" i="91" s="1"/>
  <c r="DG17" i="91"/>
  <c r="DJ17" i="91" s="1"/>
  <c r="DF17" i="91"/>
  <c r="DI17" i="91" s="1"/>
  <c r="BZ17" i="91"/>
  <c r="BY17" i="91"/>
  <c r="BT17" i="91"/>
  <c r="BS17" i="91"/>
  <c r="BR17" i="91"/>
  <c r="BP17" i="91"/>
  <c r="AI17" i="91"/>
  <c r="AH17" i="91"/>
  <c r="AC17" i="91"/>
  <c r="AB17" i="91"/>
  <c r="AA17" i="91"/>
  <c r="Z17" i="91"/>
  <c r="X17" i="91"/>
  <c r="W17" i="91"/>
  <c r="V17" i="91"/>
  <c r="DH16" i="91"/>
  <c r="DK16" i="91" s="1"/>
  <c r="DG16" i="91"/>
  <c r="DJ16" i="91" s="1"/>
  <c r="DF16" i="91"/>
  <c r="DI16" i="91" s="1"/>
  <c r="BZ16" i="91"/>
  <c r="BY16" i="91"/>
  <c r="BX16" i="91"/>
  <c r="BV16" i="91"/>
  <c r="BU16" i="91"/>
  <c r="BT16" i="91"/>
  <c r="BS16" i="91"/>
  <c r="BR16" i="91"/>
  <c r="BP16" i="91"/>
  <c r="AI16" i="91"/>
  <c r="AH16" i="91"/>
  <c r="AG16" i="91"/>
  <c r="AE16" i="91"/>
  <c r="AD16" i="91"/>
  <c r="AC16" i="91"/>
  <c r="AB16" i="91"/>
  <c r="AA16" i="91"/>
  <c r="Z16" i="91"/>
  <c r="X16" i="91"/>
  <c r="W16" i="91"/>
  <c r="V16" i="91"/>
  <c r="DH15" i="91"/>
  <c r="DK15" i="91" s="1"/>
  <c r="DG15" i="91"/>
  <c r="DJ15" i="91" s="1"/>
  <c r="DF15" i="91"/>
  <c r="DI15" i="91" s="1"/>
  <c r="BZ15" i="91"/>
  <c r="BY15" i="91"/>
  <c r="BX15" i="91"/>
  <c r="BW15" i="91"/>
  <c r="BV15" i="91"/>
  <c r="BT15" i="91"/>
  <c r="BS15" i="91"/>
  <c r="BR15" i="91"/>
  <c r="BP15" i="91"/>
  <c r="AI15" i="91"/>
  <c r="AH15" i="91"/>
  <c r="AG15" i="91"/>
  <c r="AF15" i="91"/>
  <c r="AE15" i="91"/>
  <c r="AC15" i="91"/>
  <c r="AB15" i="91"/>
  <c r="AA15" i="91"/>
  <c r="Z15" i="91"/>
  <c r="X15" i="91"/>
  <c r="W15" i="91"/>
  <c r="V15" i="91"/>
  <c r="A15" i="91"/>
  <c r="A11" i="91"/>
  <c r="A1" i="91"/>
  <c r="AW84" i="90"/>
  <c r="CN84" i="90" s="1"/>
  <c r="AW83" i="90"/>
  <c r="CN83" i="90" s="1"/>
  <c r="AW82" i="90"/>
  <c r="CN82" i="90" s="1"/>
  <c r="AW81" i="90"/>
  <c r="CN81" i="90" s="1"/>
  <c r="A56" i="90"/>
  <c r="A52" i="90"/>
  <c r="A51" i="90"/>
  <c r="A50" i="90"/>
  <c r="A49" i="90"/>
  <c r="A47" i="90"/>
  <c r="DK45" i="90"/>
  <c r="DJ45" i="90"/>
  <c r="U45" i="90"/>
  <c r="T45" i="90"/>
  <c r="S45" i="90"/>
  <c r="M45" i="90"/>
  <c r="DH44" i="90"/>
  <c r="DK44" i="90" s="1"/>
  <c r="DG44" i="90"/>
  <c r="DJ44" i="90" s="1"/>
  <c r="DF44" i="90"/>
  <c r="DI44" i="90" s="1"/>
  <c r="BZ44" i="90"/>
  <c r="BY44" i="90"/>
  <c r="BX44" i="90"/>
  <c r="BW44" i="90"/>
  <c r="BV44" i="90"/>
  <c r="BU44" i="90"/>
  <c r="BT44" i="90"/>
  <c r="BS44" i="90"/>
  <c r="BR44" i="90"/>
  <c r="BP44" i="90"/>
  <c r="AI44" i="90"/>
  <c r="AH44" i="90"/>
  <c r="AG44" i="90"/>
  <c r="AF44" i="90"/>
  <c r="AE44" i="90"/>
  <c r="AD44" i="90"/>
  <c r="AC44" i="90"/>
  <c r="AB44" i="90"/>
  <c r="AA44" i="90"/>
  <c r="Z44" i="90"/>
  <c r="X44" i="90"/>
  <c r="W44" i="90"/>
  <c r="V44" i="90"/>
  <c r="DH43" i="90"/>
  <c r="DK43" i="90" s="1"/>
  <c r="DG43" i="90"/>
  <c r="DJ43" i="90" s="1"/>
  <c r="DF43" i="90"/>
  <c r="DI43" i="90" s="1"/>
  <c r="BZ43" i="90"/>
  <c r="BY43" i="90"/>
  <c r="BX43" i="90"/>
  <c r="BW43" i="90"/>
  <c r="BV43" i="90"/>
  <c r="BU43" i="90"/>
  <c r="BT43" i="90"/>
  <c r="BS43" i="90"/>
  <c r="BR43" i="90"/>
  <c r="BP43" i="90"/>
  <c r="AI43" i="90"/>
  <c r="AH43" i="90"/>
  <c r="AG43" i="90"/>
  <c r="AF43" i="90"/>
  <c r="AE43" i="90"/>
  <c r="AD43" i="90"/>
  <c r="AC43" i="90"/>
  <c r="AB43" i="90"/>
  <c r="AA43" i="90"/>
  <c r="Z43" i="90"/>
  <c r="X43" i="90"/>
  <c r="W43" i="90"/>
  <c r="V43" i="90"/>
  <c r="DH42" i="90"/>
  <c r="DK42" i="90" s="1"/>
  <c r="DG42" i="90"/>
  <c r="DJ42" i="90" s="1"/>
  <c r="DF42" i="90"/>
  <c r="DI42" i="90" s="1"/>
  <c r="BZ42" i="90"/>
  <c r="BY42" i="90"/>
  <c r="BX42" i="90"/>
  <c r="BW42" i="90"/>
  <c r="BV42" i="90"/>
  <c r="BU42" i="90"/>
  <c r="BT42" i="90"/>
  <c r="BS42" i="90"/>
  <c r="BR42" i="90"/>
  <c r="BP42" i="90"/>
  <c r="AI42" i="90"/>
  <c r="AH42" i="90"/>
  <c r="AG42" i="90"/>
  <c r="AF42" i="90"/>
  <c r="AE42" i="90"/>
  <c r="AD42" i="90"/>
  <c r="AC42" i="90"/>
  <c r="AB42" i="90"/>
  <c r="AA42" i="90"/>
  <c r="Z42" i="90"/>
  <c r="X42" i="90"/>
  <c r="W42" i="90"/>
  <c r="V42" i="90"/>
  <c r="DH41" i="90"/>
  <c r="DK41" i="90" s="1"/>
  <c r="DG41" i="90"/>
  <c r="DJ41" i="90" s="1"/>
  <c r="DF41" i="90"/>
  <c r="DI41" i="90" s="1"/>
  <c r="BZ41" i="90"/>
  <c r="BY41" i="90"/>
  <c r="BX41" i="90"/>
  <c r="BW41" i="90"/>
  <c r="BV41" i="90"/>
  <c r="BU41" i="90"/>
  <c r="BT41" i="90"/>
  <c r="BS41" i="90"/>
  <c r="BR41" i="90"/>
  <c r="BP41" i="90"/>
  <c r="AI41" i="90"/>
  <c r="AH41" i="90"/>
  <c r="AG41" i="90"/>
  <c r="AF41" i="90"/>
  <c r="AE41" i="90"/>
  <c r="AD41" i="90"/>
  <c r="AC41" i="90"/>
  <c r="AB41" i="90"/>
  <c r="AA41" i="90"/>
  <c r="Z41" i="90"/>
  <c r="X41" i="90"/>
  <c r="W41" i="90"/>
  <c r="V41" i="90"/>
  <c r="DH40" i="90"/>
  <c r="DK40" i="90" s="1"/>
  <c r="DG40" i="90"/>
  <c r="DJ40" i="90" s="1"/>
  <c r="DF40" i="90"/>
  <c r="DI40" i="90" s="1"/>
  <c r="BZ40" i="90"/>
  <c r="BY40" i="90"/>
  <c r="BX40" i="90"/>
  <c r="BT40" i="90"/>
  <c r="BS40" i="90"/>
  <c r="BR40" i="90"/>
  <c r="BP40" i="90"/>
  <c r="AI40" i="90"/>
  <c r="AH40" i="90"/>
  <c r="AG40" i="90"/>
  <c r="AC40" i="90"/>
  <c r="AB40" i="90"/>
  <c r="AA40" i="90"/>
  <c r="Z40" i="90"/>
  <c r="X40" i="90"/>
  <c r="W40" i="90"/>
  <c r="V40" i="90"/>
  <c r="DH39" i="90"/>
  <c r="DK39" i="90" s="1"/>
  <c r="DG39" i="90"/>
  <c r="DJ39" i="90" s="1"/>
  <c r="DF39" i="90"/>
  <c r="DI39" i="90" s="1"/>
  <c r="BZ39" i="90"/>
  <c r="BY39" i="90"/>
  <c r="BX39" i="90"/>
  <c r="BW39" i="90"/>
  <c r="BU39" i="90"/>
  <c r="BT39" i="90"/>
  <c r="BS39" i="90"/>
  <c r="BR39" i="90"/>
  <c r="BP39" i="90"/>
  <c r="AI39" i="90"/>
  <c r="AH39" i="90"/>
  <c r="AG39" i="90"/>
  <c r="AF39" i="90"/>
  <c r="AD39" i="90"/>
  <c r="AC39" i="90"/>
  <c r="AB39" i="90"/>
  <c r="AA39" i="90"/>
  <c r="Z39" i="90"/>
  <c r="X39" i="90"/>
  <c r="W39" i="90"/>
  <c r="V39" i="90"/>
  <c r="DH38" i="90"/>
  <c r="DK38" i="90" s="1"/>
  <c r="DG38" i="90"/>
  <c r="DJ38" i="90" s="1"/>
  <c r="DF38" i="90"/>
  <c r="DI38" i="90" s="1"/>
  <c r="BZ38" i="90"/>
  <c r="BY38" i="90"/>
  <c r="BW38" i="90"/>
  <c r="BV38" i="90"/>
  <c r="BU38" i="90"/>
  <c r="BT38" i="90"/>
  <c r="BS38" i="90"/>
  <c r="BR38" i="90"/>
  <c r="BP38" i="90"/>
  <c r="AI38" i="90"/>
  <c r="AH38" i="90"/>
  <c r="AF38" i="90"/>
  <c r="AE38" i="90"/>
  <c r="AD38" i="90"/>
  <c r="AC38" i="90"/>
  <c r="AB38" i="90"/>
  <c r="AA38" i="90"/>
  <c r="Z38" i="90"/>
  <c r="X38" i="90"/>
  <c r="W38" i="90"/>
  <c r="V38" i="90"/>
  <c r="DH37" i="90"/>
  <c r="DK37" i="90" s="1"/>
  <c r="DG37" i="90"/>
  <c r="DJ37" i="90" s="1"/>
  <c r="DF37" i="90"/>
  <c r="DI37" i="90" s="1"/>
  <c r="BZ37" i="90"/>
  <c r="BY37" i="90"/>
  <c r="BX37" i="90"/>
  <c r="BW37" i="90"/>
  <c r="BV37" i="90"/>
  <c r="BU37" i="90"/>
  <c r="BT37" i="90"/>
  <c r="BS37" i="90"/>
  <c r="BR37" i="90"/>
  <c r="BP37" i="90"/>
  <c r="AI37" i="90"/>
  <c r="AH37" i="90"/>
  <c r="AG37" i="90"/>
  <c r="AF37" i="90"/>
  <c r="AE37" i="90"/>
  <c r="AD37" i="90"/>
  <c r="AC37" i="90"/>
  <c r="AB37" i="90"/>
  <c r="AA37" i="90"/>
  <c r="Z37" i="90"/>
  <c r="X37" i="90"/>
  <c r="W37" i="90"/>
  <c r="V37" i="90"/>
  <c r="DH36" i="90"/>
  <c r="DK36" i="90" s="1"/>
  <c r="DG36" i="90"/>
  <c r="DJ36" i="90" s="1"/>
  <c r="DF36" i="90"/>
  <c r="DI36" i="90" s="1"/>
  <c r="BZ36" i="90"/>
  <c r="BY36" i="90"/>
  <c r="BX36" i="90"/>
  <c r="BW36" i="90"/>
  <c r="BV36" i="90"/>
  <c r="BU36" i="90"/>
  <c r="BT36" i="90"/>
  <c r="BS36" i="90"/>
  <c r="BR36" i="90"/>
  <c r="BP36" i="90"/>
  <c r="AI36" i="90"/>
  <c r="AH36" i="90"/>
  <c r="AG36" i="90"/>
  <c r="AF36" i="90"/>
  <c r="AE36" i="90"/>
  <c r="AD36" i="90"/>
  <c r="AC36" i="90"/>
  <c r="AB36" i="90"/>
  <c r="AA36" i="90"/>
  <c r="Z36" i="90"/>
  <c r="X36" i="90"/>
  <c r="W36" i="90"/>
  <c r="V36" i="90"/>
  <c r="DH35" i="90"/>
  <c r="DK35" i="90" s="1"/>
  <c r="DG35" i="90"/>
  <c r="DJ35" i="90" s="1"/>
  <c r="DF35" i="90"/>
  <c r="DI35" i="90" s="1"/>
  <c r="BZ35" i="90"/>
  <c r="BY35" i="90"/>
  <c r="BX35" i="90"/>
  <c r="BW35" i="90"/>
  <c r="BV35" i="90"/>
  <c r="BU35" i="90"/>
  <c r="BT35" i="90"/>
  <c r="BS35" i="90"/>
  <c r="BR35" i="90"/>
  <c r="BP35" i="90"/>
  <c r="AI35" i="90"/>
  <c r="AH35" i="90"/>
  <c r="AG35" i="90"/>
  <c r="AF35" i="90"/>
  <c r="AE35" i="90"/>
  <c r="AD35" i="90"/>
  <c r="AC35" i="90"/>
  <c r="AB35" i="90"/>
  <c r="AA35" i="90"/>
  <c r="Z35" i="90"/>
  <c r="X35" i="90"/>
  <c r="W35" i="90"/>
  <c r="V35" i="90"/>
  <c r="DH34" i="90"/>
  <c r="DK34" i="90" s="1"/>
  <c r="DG34" i="90"/>
  <c r="DJ34" i="90" s="1"/>
  <c r="DF34" i="90"/>
  <c r="DI34" i="90" s="1"/>
  <c r="BZ34" i="90"/>
  <c r="BY34" i="90"/>
  <c r="BX34" i="90"/>
  <c r="BW34" i="90"/>
  <c r="BV34" i="90"/>
  <c r="BU34" i="90"/>
  <c r="BT34" i="90"/>
  <c r="BS34" i="90"/>
  <c r="BR34" i="90"/>
  <c r="BP34" i="90"/>
  <c r="AI34" i="90"/>
  <c r="AH34" i="90"/>
  <c r="AG34" i="90"/>
  <c r="AF34" i="90"/>
  <c r="AE34" i="90"/>
  <c r="AD34" i="90"/>
  <c r="AC34" i="90"/>
  <c r="AB34" i="90"/>
  <c r="AA34" i="90"/>
  <c r="Z34" i="90"/>
  <c r="X34" i="90"/>
  <c r="W34" i="90"/>
  <c r="V34" i="90"/>
  <c r="DH33" i="90"/>
  <c r="DK33" i="90" s="1"/>
  <c r="DG33" i="90"/>
  <c r="DJ33" i="90" s="1"/>
  <c r="DF33" i="90"/>
  <c r="DI33" i="90" s="1"/>
  <c r="BZ33" i="90"/>
  <c r="BY33" i="90"/>
  <c r="BW33" i="90"/>
  <c r="BT33" i="90"/>
  <c r="BS33" i="90"/>
  <c r="BR33" i="90"/>
  <c r="BP33" i="90"/>
  <c r="AI33" i="90"/>
  <c r="AH33" i="90"/>
  <c r="AF33" i="90"/>
  <c r="AC33" i="90"/>
  <c r="AB33" i="90"/>
  <c r="AA33" i="90"/>
  <c r="Z33" i="90"/>
  <c r="X33" i="90"/>
  <c r="W33" i="90"/>
  <c r="V33" i="90"/>
  <c r="DH32" i="90"/>
  <c r="DK32" i="90" s="1"/>
  <c r="DG32" i="90"/>
  <c r="DJ32" i="90" s="1"/>
  <c r="DF32" i="90"/>
  <c r="DI32" i="90" s="1"/>
  <c r="BZ32" i="90"/>
  <c r="BY32" i="90"/>
  <c r="BX32" i="90"/>
  <c r="BW32" i="90"/>
  <c r="BV32" i="90"/>
  <c r="BU32" i="90"/>
  <c r="BT32" i="90"/>
  <c r="BS32" i="90"/>
  <c r="BR32" i="90"/>
  <c r="BP32" i="90"/>
  <c r="AI32" i="90"/>
  <c r="AH32" i="90"/>
  <c r="AG32" i="90"/>
  <c r="AF32" i="90"/>
  <c r="AE32" i="90"/>
  <c r="AD32" i="90"/>
  <c r="AC32" i="90"/>
  <c r="AB32" i="90"/>
  <c r="AA32" i="90"/>
  <c r="Z32" i="90"/>
  <c r="X32" i="90"/>
  <c r="W32" i="90"/>
  <c r="V32" i="90"/>
  <c r="DH31" i="90"/>
  <c r="DK31" i="90" s="1"/>
  <c r="DG31" i="90"/>
  <c r="DJ31" i="90" s="1"/>
  <c r="DF31" i="90"/>
  <c r="DI31" i="90" s="1"/>
  <c r="BZ31" i="90"/>
  <c r="BY31" i="90"/>
  <c r="BX31" i="90"/>
  <c r="BV31" i="90"/>
  <c r="BU31" i="90"/>
  <c r="BT31" i="90"/>
  <c r="BS31" i="90"/>
  <c r="BR31" i="90"/>
  <c r="BP31" i="90"/>
  <c r="AI31" i="90"/>
  <c r="AH31" i="90"/>
  <c r="AG31" i="90"/>
  <c r="AE31" i="90"/>
  <c r="AD31" i="90"/>
  <c r="AC31" i="90"/>
  <c r="AB31" i="90"/>
  <c r="AA31" i="90"/>
  <c r="Z31" i="90"/>
  <c r="X31" i="90"/>
  <c r="W31" i="90"/>
  <c r="V31" i="90"/>
  <c r="DH30" i="90"/>
  <c r="DK30" i="90" s="1"/>
  <c r="DG30" i="90"/>
  <c r="DJ30" i="90" s="1"/>
  <c r="DF30" i="90"/>
  <c r="DI30" i="90" s="1"/>
  <c r="BZ30" i="90"/>
  <c r="BY30" i="90"/>
  <c r="BX30" i="90"/>
  <c r="BW30" i="90"/>
  <c r="BV30" i="90"/>
  <c r="BU30" i="90"/>
  <c r="BT30" i="90"/>
  <c r="BS30" i="90"/>
  <c r="BR30" i="90"/>
  <c r="BP30" i="90"/>
  <c r="AI30" i="90"/>
  <c r="AH30" i="90"/>
  <c r="AG30" i="90"/>
  <c r="AF30" i="90"/>
  <c r="AE30" i="90"/>
  <c r="AD30" i="90"/>
  <c r="AC30" i="90"/>
  <c r="AB30" i="90"/>
  <c r="AA30" i="90"/>
  <c r="Z30" i="90"/>
  <c r="X30" i="90"/>
  <c r="W30" i="90"/>
  <c r="V30" i="90"/>
  <c r="DH29" i="90"/>
  <c r="DK29" i="90" s="1"/>
  <c r="DG29" i="90"/>
  <c r="DJ29" i="90" s="1"/>
  <c r="DF29" i="90"/>
  <c r="DI29" i="90" s="1"/>
  <c r="BZ29" i="90"/>
  <c r="BY29" i="90"/>
  <c r="BX29" i="90"/>
  <c r="BW29" i="90"/>
  <c r="BV29" i="90"/>
  <c r="BU29" i="90"/>
  <c r="BT29" i="90"/>
  <c r="BS29" i="90"/>
  <c r="BR29" i="90"/>
  <c r="BP29" i="90"/>
  <c r="AI29" i="90"/>
  <c r="AH29" i="90"/>
  <c r="AG29" i="90"/>
  <c r="AF29" i="90"/>
  <c r="AE29" i="90"/>
  <c r="AD29" i="90"/>
  <c r="AC29" i="90"/>
  <c r="AB29" i="90"/>
  <c r="AA29" i="90"/>
  <c r="Z29" i="90"/>
  <c r="X29" i="90"/>
  <c r="W29" i="90"/>
  <c r="V29" i="90"/>
  <c r="DH28" i="90"/>
  <c r="DK28" i="90" s="1"/>
  <c r="DG28" i="90"/>
  <c r="DJ28" i="90" s="1"/>
  <c r="DF28" i="90"/>
  <c r="DI28" i="90" s="1"/>
  <c r="BZ28" i="90"/>
  <c r="BY28" i="90"/>
  <c r="BX28" i="90"/>
  <c r="BW28" i="90"/>
  <c r="BV28" i="90"/>
  <c r="BU28" i="90"/>
  <c r="BT28" i="90"/>
  <c r="BS28" i="90"/>
  <c r="BR28" i="90"/>
  <c r="BP28" i="90"/>
  <c r="AI28" i="90"/>
  <c r="AH28" i="90"/>
  <c r="AG28" i="90"/>
  <c r="AF28" i="90"/>
  <c r="AE28" i="90"/>
  <c r="AD28" i="90"/>
  <c r="AC28" i="90"/>
  <c r="AB28" i="90"/>
  <c r="AA28" i="90"/>
  <c r="Z28" i="90"/>
  <c r="X28" i="90"/>
  <c r="W28" i="90"/>
  <c r="V28" i="90"/>
  <c r="DH27" i="90"/>
  <c r="DK27" i="90" s="1"/>
  <c r="DG27" i="90"/>
  <c r="DJ27" i="90" s="1"/>
  <c r="DF27" i="90"/>
  <c r="DI27" i="90" s="1"/>
  <c r="BZ27" i="90"/>
  <c r="BY27" i="90"/>
  <c r="BX27" i="90"/>
  <c r="BW27" i="90"/>
  <c r="BV27" i="90"/>
  <c r="BU27" i="90"/>
  <c r="BT27" i="90"/>
  <c r="BS27" i="90"/>
  <c r="BR27" i="90"/>
  <c r="BP27" i="90"/>
  <c r="AI27" i="90"/>
  <c r="AH27" i="90"/>
  <c r="AG27" i="90"/>
  <c r="AF27" i="90"/>
  <c r="AE27" i="90"/>
  <c r="AD27" i="90"/>
  <c r="AC27" i="90"/>
  <c r="AB27" i="90"/>
  <c r="AA27" i="90"/>
  <c r="Z27" i="90"/>
  <c r="X27" i="90"/>
  <c r="W27" i="90"/>
  <c r="V27" i="90"/>
  <c r="DH26" i="90"/>
  <c r="DK26" i="90" s="1"/>
  <c r="DG26" i="90"/>
  <c r="DJ26" i="90" s="1"/>
  <c r="DF26" i="90"/>
  <c r="DI26" i="90" s="1"/>
  <c r="BZ26" i="90"/>
  <c r="BY26" i="90"/>
  <c r="BT26" i="90"/>
  <c r="BS26" i="90"/>
  <c r="BR26" i="90"/>
  <c r="BP26" i="90"/>
  <c r="AI26" i="90"/>
  <c r="AH26" i="90"/>
  <c r="AC26" i="90"/>
  <c r="AB26" i="90"/>
  <c r="AA26" i="90"/>
  <c r="Z26" i="90"/>
  <c r="X26" i="90"/>
  <c r="W26" i="90"/>
  <c r="V26" i="90"/>
  <c r="DH25" i="90"/>
  <c r="DK25" i="90" s="1"/>
  <c r="DG25" i="90"/>
  <c r="DJ25" i="90" s="1"/>
  <c r="DF25" i="90"/>
  <c r="DI25" i="90" s="1"/>
  <c r="BZ25" i="90"/>
  <c r="BY25" i="90"/>
  <c r="BW25" i="90"/>
  <c r="BV25" i="90"/>
  <c r="BU25" i="90"/>
  <c r="BT25" i="90"/>
  <c r="BS25" i="90"/>
  <c r="BR25" i="90"/>
  <c r="BP25" i="90"/>
  <c r="AI25" i="90"/>
  <c r="AH25" i="90"/>
  <c r="AF25" i="90"/>
  <c r="AE25" i="90"/>
  <c r="AD25" i="90"/>
  <c r="AC25" i="90"/>
  <c r="AB25" i="90"/>
  <c r="AA25" i="90"/>
  <c r="Z25" i="90"/>
  <c r="X25" i="90"/>
  <c r="W25" i="90"/>
  <c r="V25" i="90"/>
  <c r="DH24" i="90"/>
  <c r="DK24" i="90" s="1"/>
  <c r="DG24" i="90"/>
  <c r="DJ24" i="90" s="1"/>
  <c r="DF24" i="90"/>
  <c r="DI24" i="90" s="1"/>
  <c r="BZ24" i="90"/>
  <c r="BY24" i="90"/>
  <c r="BX24" i="90"/>
  <c r="BW24" i="90"/>
  <c r="BU24" i="90"/>
  <c r="BT24" i="90"/>
  <c r="BS24" i="90"/>
  <c r="BR24" i="90"/>
  <c r="BP24" i="90"/>
  <c r="AI24" i="90"/>
  <c r="AH24" i="90"/>
  <c r="AG24" i="90"/>
  <c r="AF24" i="90"/>
  <c r="AD24" i="90"/>
  <c r="AC24" i="90"/>
  <c r="AB24" i="90"/>
  <c r="AA24" i="90"/>
  <c r="Z24" i="90"/>
  <c r="X24" i="90"/>
  <c r="W24" i="90"/>
  <c r="V24" i="90"/>
  <c r="DH23" i="90"/>
  <c r="DK23" i="90" s="1"/>
  <c r="DG23" i="90"/>
  <c r="DJ23" i="90" s="1"/>
  <c r="DF23" i="90"/>
  <c r="DI23" i="90" s="1"/>
  <c r="BZ23" i="90"/>
  <c r="BY23" i="90"/>
  <c r="BX23" i="90"/>
  <c r="BW23" i="90"/>
  <c r="BV23" i="90"/>
  <c r="BU23" i="90"/>
  <c r="BT23" i="90"/>
  <c r="BS23" i="90"/>
  <c r="BR23" i="90"/>
  <c r="BP23" i="90"/>
  <c r="AI23" i="90"/>
  <c r="AH23" i="90"/>
  <c r="AG23" i="90"/>
  <c r="AF23" i="90"/>
  <c r="AE23" i="90"/>
  <c r="AD23" i="90"/>
  <c r="AC23" i="90"/>
  <c r="AB23" i="90"/>
  <c r="AA23" i="90"/>
  <c r="Z23" i="90"/>
  <c r="X23" i="90"/>
  <c r="W23" i="90"/>
  <c r="V23" i="90"/>
  <c r="DH22" i="90"/>
  <c r="DK22" i="90" s="1"/>
  <c r="DG22" i="90"/>
  <c r="DJ22" i="90" s="1"/>
  <c r="DF22" i="90"/>
  <c r="DI22" i="90" s="1"/>
  <c r="BZ22" i="90"/>
  <c r="BY22" i="90"/>
  <c r="BX22" i="90"/>
  <c r="BW22" i="90"/>
  <c r="BV22" i="90"/>
  <c r="BU22" i="90"/>
  <c r="BT22" i="90"/>
  <c r="BS22" i="90"/>
  <c r="BR22" i="90"/>
  <c r="BP22" i="90"/>
  <c r="AI22" i="90"/>
  <c r="AH22" i="90"/>
  <c r="AG22" i="90"/>
  <c r="AF22" i="90"/>
  <c r="AE22" i="90"/>
  <c r="AD22" i="90"/>
  <c r="AC22" i="90"/>
  <c r="AB22" i="90"/>
  <c r="AA22" i="90"/>
  <c r="Z22" i="90"/>
  <c r="X22" i="90"/>
  <c r="DH21" i="90"/>
  <c r="DK21" i="90" s="1"/>
  <c r="DG21" i="90"/>
  <c r="DJ21" i="90" s="1"/>
  <c r="DF21" i="90"/>
  <c r="DI21" i="90" s="1"/>
  <c r="BZ21" i="90"/>
  <c r="BY21" i="90"/>
  <c r="BX21" i="90"/>
  <c r="BW21" i="90"/>
  <c r="BV21" i="90"/>
  <c r="BU21" i="90"/>
  <c r="BT21" i="90"/>
  <c r="BS21" i="90"/>
  <c r="BR21" i="90"/>
  <c r="BP21" i="90"/>
  <c r="AI21" i="90"/>
  <c r="AH21" i="90"/>
  <c r="AG21" i="90"/>
  <c r="AF21" i="90"/>
  <c r="AE21" i="90"/>
  <c r="AD21" i="90"/>
  <c r="AC21" i="90"/>
  <c r="AB21" i="90"/>
  <c r="AA21" i="90"/>
  <c r="Z21" i="90"/>
  <c r="X21" i="90"/>
  <c r="W21" i="90"/>
  <c r="V21" i="90"/>
  <c r="DH20" i="90"/>
  <c r="DK20" i="90" s="1"/>
  <c r="DG20" i="90"/>
  <c r="DJ20" i="90" s="1"/>
  <c r="DF20" i="90"/>
  <c r="DI20" i="90" s="1"/>
  <c r="BZ20" i="90"/>
  <c r="BY20" i="90"/>
  <c r="BX20" i="90"/>
  <c r="BW20" i="90"/>
  <c r="BV20" i="90"/>
  <c r="BU20" i="90"/>
  <c r="BT20" i="90"/>
  <c r="BS20" i="90"/>
  <c r="BR20" i="90"/>
  <c r="BP20" i="90"/>
  <c r="AI20" i="90"/>
  <c r="AH20" i="90"/>
  <c r="AG20" i="90"/>
  <c r="AF20" i="90"/>
  <c r="AE20" i="90"/>
  <c r="AD20" i="90"/>
  <c r="AC20" i="90"/>
  <c r="AB20" i="90"/>
  <c r="AA20" i="90"/>
  <c r="Z20" i="90"/>
  <c r="X20" i="90"/>
  <c r="W20" i="90"/>
  <c r="V20" i="90"/>
  <c r="DH19" i="90"/>
  <c r="DK19" i="90" s="1"/>
  <c r="DG19" i="90"/>
  <c r="DJ19" i="90" s="1"/>
  <c r="DF19" i="90"/>
  <c r="DI19" i="90" s="1"/>
  <c r="BZ19" i="90"/>
  <c r="BY19" i="90"/>
  <c r="BT19" i="90"/>
  <c r="BS19" i="90"/>
  <c r="BR19" i="90"/>
  <c r="BP19" i="90"/>
  <c r="AI19" i="90"/>
  <c r="AH19" i="90"/>
  <c r="AC19" i="90"/>
  <c r="AB19" i="90"/>
  <c r="AA19" i="90"/>
  <c r="Z19" i="90"/>
  <c r="X19" i="90"/>
  <c r="W19" i="90"/>
  <c r="V19" i="90"/>
  <c r="DH18" i="90"/>
  <c r="DK18" i="90" s="1"/>
  <c r="DG18" i="90"/>
  <c r="DJ18" i="90" s="1"/>
  <c r="DF18" i="90"/>
  <c r="DI18" i="90" s="1"/>
  <c r="BZ18" i="90"/>
  <c r="BY18" i="90"/>
  <c r="BX18" i="90"/>
  <c r="BV18" i="90"/>
  <c r="BU18" i="90"/>
  <c r="BT18" i="90"/>
  <c r="BS18" i="90"/>
  <c r="BR18" i="90"/>
  <c r="BP18" i="90"/>
  <c r="AI18" i="90"/>
  <c r="AH18" i="90"/>
  <c r="AG18" i="90"/>
  <c r="AE18" i="90"/>
  <c r="AD18" i="90"/>
  <c r="AC18" i="90"/>
  <c r="AB18" i="90"/>
  <c r="AA18" i="90"/>
  <c r="Z18" i="90"/>
  <c r="X18" i="90"/>
  <c r="W18" i="90"/>
  <c r="V18" i="90"/>
  <c r="DH17" i="90"/>
  <c r="DK17" i="90" s="1"/>
  <c r="DG17" i="90"/>
  <c r="DJ17" i="90" s="1"/>
  <c r="DF17" i="90"/>
  <c r="DI17" i="90" s="1"/>
  <c r="BZ17" i="90"/>
  <c r="BY17" i="90"/>
  <c r="BX17" i="90"/>
  <c r="BW17" i="90"/>
  <c r="BV17" i="90"/>
  <c r="BU17" i="90"/>
  <c r="BT17" i="90"/>
  <c r="BS17" i="90"/>
  <c r="BR17" i="90"/>
  <c r="BP17" i="90"/>
  <c r="AI17" i="90"/>
  <c r="AH17" i="90"/>
  <c r="AG17" i="90"/>
  <c r="AF17" i="90"/>
  <c r="AE17" i="90"/>
  <c r="AD17" i="90"/>
  <c r="AC17" i="90"/>
  <c r="AB17" i="90"/>
  <c r="AA17" i="90"/>
  <c r="Z17" i="90"/>
  <c r="X17" i="90"/>
  <c r="W17" i="90"/>
  <c r="V17" i="90"/>
  <c r="DH16" i="90"/>
  <c r="DK16" i="90" s="1"/>
  <c r="DG16" i="90"/>
  <c r="DJ16" i="90" s="1"/>
  <c r="DF16" i="90"/>
  <c r="DI16" i="90" s="1"/>
  <c r="BZ16" i="90"/>
  <c r="BY16" i="90"/>
  <c r="BX16" i="90"/>
  <c r="BW16" i="90"/>
  <c r="BV16" i="90"/>
  <c r="BU16" i="90"/>
  <c r="BT16" i="90"/>
  <c r="BS16" i="90"/>
  <c r="BR16" i="90"/>
  <c r="BP16" i="90"/>
  <c r="AI16" i="90"/>
  <c r="AH16" i="90"/>
  <c r="AG16" i="90"/>
  <c r="AF16" i="90"/>
  <c r="AE16" i="90"/>
  <c r="AD16" i="90"/>
  <c r="AC16" i="90"/>
  <c r="AB16" i="90"/>
  <c r="AA16" i="90"/>
  <c r="Z16" i="90"/>
  <c r="X16" i="90"/>
  <c r="W16" i="90"/>
  <c r="V16" i="90"/>
  <c r="DH15" i="90"/>
  <c r="DK15" i="90" s="1"/>
  <c r="DG15" i="90"/>
  <c r="DJ15" i="90" s="1"/>
  <c r="DF15" i="90"/>
  <c r="DI15" i="90" s="1"/>
  <c r="BZ15" i="90"/>
  <c r="BY15" i="90"/>
  <c r="BX15" i="90"/>
  <c r="BW15" i="90"/>
  <c r="BV15" i="90"/>
  <c r="BU15" i="90"/>
  <c r="BT15" i="90"/>
  <c r="BS15" i="90"/>
  <c r="BR15" i="90"/>
  <c r="BP15" i="90"/>
  <c r="AI15" i="90"/>
  <c r="AH15" i="90"/>
  <c r="AG15" i="90"/>
  <c r="AF15" i="90"/>
  <c r="AE15" i="90"/>
  <c r="AD15" i="90"/>
  <c r="AC15" i="90"/>
  <c r="AB15" i="90"/>
  <c r="AA15" i="90"/>
  <c r="Z15" i="90"/>
  <c r="X15" i="90"/>
  <c r="W15" i="90"/>
  <c r="V15" i="90"/>
  <c r="A15" i="90"/>
  <c r="A11" i="90"/>
  <c r="A1" i="90"/>
  <c r="AW85" i="89"/>
  <c r="CN85" i="89" s="1"/>
  <c r="AW84" i="89"/>
  <c r="CN84" i="89" s="1"/>
  <c r="AW83" i="89"/>
  <c r="CN83" i="89" s="1"/>
  <c r="AW82" i="89"/>
  <c r="CN82" i="89" s="1"/>
  <c r="A57" i="89"/>
  <c r="A53" i="89"/>
  <c r="A52" i="89"/>
  <c r="A51" i="89"/>
  <c r="A50" i="89"/>
  <c r="A48" i="89"/>
  <c r="DK46" i="89"/>
  <c r="DJ46" i="89"/>
  <c r="U46" i="89"/>
  <c r="T46" i="89"/>
  <c r="S46" i="89"/>
  <c r="M46" i="89"/>
  <c r="DH45" i="89"/>
  <c r="DK45" i="89" s="1"/>
  <c r="DG45" i="89"/>
  <c r="DJ45" i="89" s="1"/>
  <c r="DF45" i="89"/>
  <c r="DI45" i="89" s="1"/>
  <c r="BZ45" i="89"/>
  <c r="BY45" i="89"/>
  <c r="BX45" i="89"/>
  <c r="BW45" i="89"/>
  <c r="BV45" i="89"/>
  <c r="BU45" i="89"/>
  <c r="BT45" i="89"/>
  <c r="BS45" i="89"/>
  <c r="BR45" i="89"/>
  <c r="BP45" i="89"/>
  <c r="AI45" i="89"/>
  <c r="AH45" i="89"/>
  <c r="AG45" i="89"/>
  <c r="AF45" i="89"/>
  <c r="AE45" i="89"/>
  <c r="AD45" i="89"/>
  <c r="AC45" i="89"/>
  <c r="AB45" i="89"/>
  <c r="AA45" i="89"/>
  <c r="Z45" i="89"/>
  <c r="X45" i="89"/>
  <c r="W45" i="89"/>
  <c r="V45" i="89"/>
  <c r="DH44" i="89"/>
  <c r="DK44" i="89" s="1"/>
  <c r="DG44" i="89"/>
  <c r="DJ44" i="89" s="1"/>
  <c r="DF44" i="89"/>
  <c r="DI44" i="89" s="1"/>
  <c r="BZ44" i="89"/>
  <c r="BY44" i="89"/>
  <c r="BX44" i="89"/>
  <c r="BW44" i="89"/>
  <c r="BV44" i="89"/>
  <c r="BU44" i="89"/>
  <c r="BT44" i="89"/>
  <c r="BS44" i="89"/>
  <c r="BR44" i="89"/>
  <c r="BP44" i="89"/>
  <c r="AI44" i="89"/>
  <c r="AH44" i="89"/>
  <c r="AG44" i="89"/>
  <c r="AF44" i="89"/>
  <c r="AE44" i="89"/>
  <c r="AD44" i="89"/>
  <c r="AC44" i="89"/>
  <c r="AB44" i="89"/>
  <c r="AA44" i="89"/>
  <c r="Z44" i="89"/>
  <c r="X44" i="89"/>
  <c r="W44" i="89"/>
  <c r="V44" i="89"/>
  <c r="DH43" i="89"/>
  <c r="DK43" i="89" s="1"/>
  <c r="DG43" i="89"/>
  <c r="DJ43" i="89" s="1"/>
  <c r="DF43" i="89"/>
  <c r="DI43" i="89" s="1"/>
  <c r="BZ43" i="89"/>
  <c r="BY43" i="89"/>
  <c r="BX43" i="89"/>
  <c r="BW43" i="89"/>
  <c r="BV43" i="89"/>
  <c r="BU43" i="89"/>
  <c r="BT43" i="89"/>
  <c r="BS43" i="89"/>
  <c r="BR43" i="89"/>
  <c r="BP43" i="89"/>
  <c r="AI43" i="89"/>
  <c r="AH43" i="89"/>
  <c r="AG43" i="89"/>
  <c r="AF43" i="89"/>
  <c r="AE43" i="89"/>
  <c r="AD43" i="89"/>
  <c r="AC43" i="89"/>
  <c r="AB43" i="89"/>
  <c r="AA43" i="89"/>
  <c r="Z43" i="89"/>
  <c r="X43" i="89"/>
  <c r="W43" i="89"/>
  <c r="V43" i="89"/>
  <c r="DH42" i="89"/>
  <c r="DK42" i="89" s="1"/>
  <c r="DG42" i="89"/>
  <c r="DJ42" i="89" s="1"/>
  <c r="DF42" i="89"/>
  <c r="DI42" i="89" s="1"/>
  <c r="BZ42" i="89"/>
  <c r="BY42" i="89"/>
  <c r="BX42" i="89"/>
  <c r="BW42" i="89"/>
  <c r="BU42" i="89"/>
  <c r="BT42" i="89"/>
  <c r="BS42" i="89"/>
  <c r="BR42" i="89"/>
  <c r="BP42" i="89"/>
  <c r="AI42" i="89"/>
  <c r="AH42" i="89"/>
  <c r="AG42" i="89"/>
  <c r="AF42" i="89"/>
  <c r="AD42" i="89"/>
  <c r="AC42" i="89"/>
  <c r="AB42" i="89"/>
  <c r="AA42" i="89"/>
  <c r="Z42" i="89"/>
  <c r="X42" i="89"/>
  <c r="W42" i="89"/>
  <c r="V42" i="89"/>
  <c r="DH41" i="89"/>
  <c r="DK41" i="89" s="1"/>
  <c r="DG41" i="89"/>
  <c r="DJ41" i="89" s="1"/>
  <c r="DF41" i="89"/>
  <c r="DI41" i="89" s="1"/>
  <c r="BZ41" i="89"/>
  <c r="BY41" i="89"/>
  <c r="BX41" i="89"/>
  <c r="BW41" i="89"/>
  <c r="BV41" i="89"/>
  <c r="BT41" i="89"/>
  <c r="BS41" i="89"/>
  <c r="BR41" i="89"/>
  <c r="BP41" i="89"/>
  <c r="AI41" i="89"/>
  <c r="AH41" i="89"/>
  <c r="AG41" i="89"/>
  <c r="AF41" i="89"/>
  <c r="AE41" i="89"/>
  <c r="AC41" i="89"/>
  <c r="AB41" i="89"/>
  <c r="AA41" i="89"/>
  <c r="Z41" i="89"/>
  <c r="X41" i="89"/>
  <c r="W41" i="89"/>
  <c r="V41" i="89"/>
  <c r="DH40" i="89"/>
  <c r="DK40" i="89" s="1"/>
  <c r="DG40" i="89"/>
  <c r="DJ40" i="89" s="1"/>
  <c r="DF40" i="89"/>
  <c r="DI40" i="89" s="1"/>
  <c r="BZ40" i="89"/>
  <c r="BY40" i="89"/>
  <c r="BX40" i="89"/>
  <c r="BW40" i="89"/>
  <c r="BV40" i="89"/>
  <c r="BU40" i="89"/>
  <c r="BT40" i="89"/>
  <c r="BS40" i="89"/>
  <c r="BR40" i="89"/>
  <c r="BP40" i="89"/>
  <c r="AI40" i="89"/>
  <c r="AH40" i="89"/>
  <c r="AG40" i="89"/>
  <c r="AF40" i="89"/>
  <c r="AE40" i="89"/>
  <c r="AD40" i="89"/>
  <c r="AC40" i="89"/>
  <c r="AB40" i="89"/>
  <c r="AA40" i="89"/>
  <c r="Z40" i="89"/>
  <c r="X40" i="89"/>
  <c r="W40" i="89"/>
  <c r="V40" i="89"/>
  <c r="DH39" i="89"/>
  <c r="DK39" i="89" s="1"/>
  <c r="DG39" i="89"/>
  <c r="DJ39" i="89" s="1"/>
  <c r="DF39" i="89"/>
  <c r="DI39" i="89" s="1"/>
  <c r="BZ39" i="89"/>
  <c r="BY39" i="89"/>
  <c r="BX39" i="89"/>
  <c r="BW39" i="89"/>
  <c r="BV39" i="89"/>
  <c r="BU39" i="89"/>
  <c r="BT39" i="89"/>
  <c r="BS39" i="89"/>
  <c r="BR39" i="89"/>
  <c r="BP39" i="89"/>
  <c r="AI39" i="89"/>
  <c r="AH39" i="89"/>
  <c r="AG39" i="89"/>
  <c r="AF39" i="89"/>
  <c r="AE39" i="89"/>
  <c r="AD39" i="89"/>
  <c r="AC39" i="89"/>
  <c r="AB39" i="89"/>
  <c r="AA39" i="89"/>
  <c r="Z39" i="89"/>
  <c r="X39" i="89"/>
  <c r="W39" i="89"/>
  <c r="V39" i="89"/>
  <c r="DH38" i="89"/>
  <c r="DK38" i="89" s="1"/>
  <c r="DG38" i="89"/>
  <c r="DJ38" i="89" s="1"/>
  <c r="DF38" i="89"/>
  <c r="DI38" i="89" s="1"/>
  <c r="BZ38" i="89"/>
  <c r="BY38" i="89"/>
  <c r="BX38" i="89"/>
  <c r="BW38" i="89"/>
  <c r="BV38" i="89"/>
  <c r="BU38" i="89"/>
  <c r="BT38" i="89"/>
  <c r="BS38" i="89"/>
  <c r="BR38" i="89"/>
  <c r="BP38" i="89"/>
  <c r="AI38" i="89"/>
  <c r="AH38" i="89"/>
  <c r="AG38" i="89"/>
  <c r="AF38" i="89"/>
  <c r="AE38" i="89"/>
  <c r="AD38" i="89"/>
  <c r="AC38" i="89"/>
  <c r="AB38" i="89"/>
  <c r="AA38" i="89"/>
  <c r="Z38" i="89"/>
  <c r="X38" i="89"/>
  <c r="W38" i="89"/>
  <c r="V38" i="89"/>
  <c r="DH37" i="89"/>
  <c r="DK37" i="89" s="1"/>
  <c r="DG37" i="89"/>
  <c r="DJ37" i="89" s="1"/>
  <c r="DF37" i="89"/>
  <c r="DI37" i="89" s="1"/>
  <c r="BZ37" i="89"/>
  <c r="BY37" i="89"/>
  <c r="BX37" i="89"/>
  <c r="BW37" i="89"/>
  <c r="BV37" i="89"/>
  <c r="BU37" i="89"/>
  <c r="BT37" i="89"/>
  <c r="BS37" i="89"/>
  <c r="BR37" i="89"/>
  <c r="BP37" i="89"/>
  <c r="AI37" i="89"/>
  <c r="AH37" i="89"/>
  <c r="AG37" i="89"/>
  <c r="AF37" i="89"/>
  <c r="AE37" i="89"/>
  <c r="AD37" i="89"/>
  <c r="AC37" i="89"/>
  <c r="AB37" i="89"/>
  <c r="AA37" i="89"/>
  <c r="Z37" i="89"/>
  <c r="X37" i="89"/>
  <c r="W37" i="89"/>
  <c r="V37" i="89"/>
  <c r="DH36" i="89"/>
  <c r="DK36" i="89" s="1"/>
  <c r="DG36" i="89"/>
  <c r="DJ36" i="89" s="1"/>
  <c r="DF36" i="89"/>
  <c r="DI36" i="89" s="1"/>
  <c r="BZ36" i="89"/>
  <c r="BY36" i="89"/>
  <c r="BX36" i="89"/>
  <c r="BW36" i="89"/>
  <c r="BT36" i="89"/>
  <c r="BS36" i="89"/>
  <c r="BR36" i="89"/>
  <c r="BP36" i="89"/>
  <c r="AI36" i="89"/>
  <c r="AH36" i="89"/>
  <c r="AG36" i="89"/>
  <c r="AF36" i="89"/>
  <c r="AC36" i="89"/>
  <c r="AB36" i="89"/>
  <c r="AA36" i="89"/>
  <c r="Z36" i="89"/>
  <c r="X36" i="89"/>
  <c r="W36" i="89"/>
  <c r="V36" i="89"/>
  <c r="DH35" i="89"/>
  <c r="DK35" i="89" s="1"/>
  <c r="DG35" i="89"/>
  <c r="DJ35" i="89" s="1"/>
  <c r="DF35" i="89"/>
  <c r="DI35" i="89" s="1"/>
  <c r="BZ35" i="89"/>
  <c r="BY35" i="89"/>
  <c r="BX35" i="89"/>
  <c r="BW35" i="89"/>
  <c r="BV35" i="89"/>
  <c r="BT35" i="89"/>
  <c r="BS35" i="89"/>
  <c r="BR35" i="89"/>
  <c r="BP35" i="89"/>
  <c r="AI35" i="89"/>
  <c r="AH35" i="89"/>
  <c r="AG35" i="89"/>
  <c r="AF35" i="89"/>
  <c r="AE35" i="89"/>
  <c r="AC35" i="89"/>
  <c r="AB35" i="89"/>
  <c r="AA35" i="89"/>
  <c r="Z35" i="89"/>
  <c r="X35" i="89"/>
  <c r="W35" i="89"/>
  <c r="V35" i="89"/>
  <c r="DH34" i="89"/>
  <c r="DK34" i="89" s="1"/>
  <c r="DG34" i="89"/>
  <c r="DJ34" i="89" s="1"/>
  <c r="DF34" i="89"/>
  <c r="DI34" i="89" s="1"/>
  <c r="BZ34" i="89"/>
  <c r="BY34" i="89"/>
  <c r="BW34" i="89"/>
  <c r="BV34" i="89"/>
  <c r="BU34" i="89"/>
  <c r="BT34" i="89"/>
  <c r="BS34" i="89"/>
  <c r="BR34" i="89"/>
  <c r="BP34" i="89"/>
  <c r="AI34" i="89"/>
  <c r="AH34" i="89"/>
  <c r="AF34" i="89"/>
  <c r="AE34" i="89"/>
  <c r="AD34" i="89"/>
  <c r="AC34" i="89"/>
  <c r="AB34" i="89"/>
  <c r="AA34" i="89"/>
  <c r="Z34" i="89"/>
  <c r="X34" i="89"/>
  <c r="W34" i="89"/>
  <c r="V34" i="89"/>
  <c r="DH33" i="89"/>
  <c r="DK33" i="89" s="1"/>
  <c r="DG33" i="89"/>
  <c r="DJ33" i="89" s="1"/>
  <c r="DF33" i="89"/>
  <c r="DI33" i="89" s="1"/>
  <c r="BZ33" i="89"/>
  <c r="BY33" i="89"/>
  <c r="BX33" i="89"/>
  <c r="BW33" i="89"/>
  <c r="BV33" i="89"/>
  <c r="BU33" i="89"/>
  <c r="BT33" i="89"/>
  <c r="BS33" i="89"/>
  <c r="BR33" i="89"/>
  <c r="BP33" i="89"/>
  <c r="AI33" i="89"/>
  <c r="AH33" i="89"/>
  <c r="AG33" i="89"/>
  <c r="AF33" i="89"/>
  <c r="AE33" i="89"/>
  <c r="AD33" i="89"/>
  <c r="AC33" i="89"/>
  <c r="AB33" i="89"/>
  <c r="AA33" i="89"/>
  <c r="Z33" i="89"/>
  <c r="X33" i="89"/>
  <c r="W33" i="89"/>
  <c r="V33" i="89"/>
  <c r="DH32" i="89"/>
  <c r="DK32" i="89" s="1"/>
  <c r="DG32" i="89"/>
  <c r="DJ32" i="89" s="1"/>
  <c r="DF32" i="89"/>
  <c r="DI32" i="89" s="1"/>
  <c r="BZ32" i="89"/>
  <c r="BY32" i="89"/>
  <c r="BX32" i="89"/>
  <c r="BW32" i="89"/>
  <c r="BV32" i="89"/>
  <c r="BU32" i="89"/>
  <c r="BT32" i="89"/>
  <c r="BS32" i="89"/>
  <c r="BR32" i="89"/>
  <c r="BP32" i="89"/>
  <c r="AI32" i="89"/>
  <c r="AH32" i="89"/>
  <c r="AG32" i="89"/>
  <c r="AF32" i="89"/>
  <c r="AE32" i="89"/>
  <c r="AD32" i="89"/>
  <c r="AC32" i="89"/>
  <c r="AB32" i="89"/>
  <c r="AA32" i="89"/>
  <c r="Z32" i="89"/>
  <c r="X32" i="89"/>
  <c r="W32" i="89"/>
  <c r="V32" i="89"/>
  <c r="DH31" i="89"/>
  <c r="DK31" i="89" s="1"/>
  <c r="DG31" i="89"/>
  <c r="DJ31" i="89" s="1"/>
  <c r="DF31" i="89"/>
  <c r="DI31" i="89" s="1"/>
  <c r="BZ31" i="89"/>
  <c r="BY31" i="89"/>
  <c r="BX31" i="89"/>
  <c r="BW31" i="89"/>
  <c r="BV31" i="89"/>
  <c r="BU31" i="89"/>
  <c r="BT31" i="89"/>
  <c r="BS31" i="89"/>
  <c r="BR31" i="89"/>
  <c r="BP31" i="89"/>
  <c r="AI31" i="89"/>
  <c r="AH31" i="89"/>
  <c r="AG31" i="89"/>
  <c r="AF31" i="89"/>
  <c r="AE31" i="89"/>
  <c r="AD31" i="89"/>
  <c r="AC31" i="89"/>
  <c r="AB31" i="89"/>
  <c r="AA31" i="89"/>
  <c r="Z31" i="89"/>
  <c r="X31" i="89"/>
  <c r="W31" i="89"/>
  <c r="V31" i="89"/>
  <c r="DH30" i="89"/>
  <c r="DK30" i="89" s="1"/>
  <c r="DG30" i="89"/>
  <c r="DJ30" i="89" s="1"/>
  <c r="DF30" i="89"/>
  <c r="DI30" i="89" s="1"/>
  <c r="BZ30" i="89"/>
  <c r="BY30" i="89"/>
  <c r="BX30" i="89"/>
  <c r="BW30" i="89"/>
  <c r="BV30" i="89"/>
  <c r="BU30" i="89"/>
  <c r="BT30" i="89"/>
  <c r="BS30" i="89"/>
  <c r="BR30" i="89"/>
  <c r="BP30" i="89"/>
  <c r="AI30" i="89"/>
  <c r="AH30" i="89"/>
  <c r="AG30" i="89"/>
  <c r="AF30" i="89"/>
  <c r="AE30" i="89"/>
  <c r="AD30" i="89"/>
  <c r="AC30" i="89"/>
  <c r="AB30" i="89"/>
  <c r="AA30" i="89"/>
  <c r="Z30" i="89"/>
  <c r="X30" i="89"/>
  <c r="W30" i="89"/>
  <c r="V30" i="89"/>
  <c r="DH29" i="89"/>
  <c r="DK29" i="89" s="1"/>
  <c r="DG29" i="89"/>
  <c r="DJ29" i="89" s="1"/>
  <c r="DF29" i="89"/>
  <c r="DI29" i="89" s="1"/>
  <c r="BZ29" i="89"/>
  <c r="BY29" i="89"/>
  <c r="BW29" i="89"/>
  <c r="BV29" i="89"/>
  <c r="BT29" i="89"/>
  <c r="BS29" i="89"/>
  <c r="BR29" i="89"/>
  <c r="BP29" i="89"/>
  <c r="AI29" i="89"/>
  <c r="AH29" i="89"/>
  <c r="AF29" i="89"/>
  <c r="AE29" i="89"/>
  <c r="AC29" i="89"/>
  <c r="AB29" i="89"/>
  <c r="AA29" i="89"/>
  <c r="Z29" i="89"/>
  <c r="X29" i="89"/>
  <c r="W29" i="89"/>
  <c r="V29" i="89"/>
  <c r="DH28" i="89"/>
  <c r="DK28" i="89" s="1"/>
  <c r="DG28" i="89"/>
  <c r="DJ28" i="89" s="1"/>
  <c r="DF28" i="89"/>
  <c r="DI28" i="89" s="1"/>
  <c r="BZ28" i="89"/>
  <c r="BY28" i="89"/>
  <c r="BW28" i="89"/>
  <c r="BV28" i="89"/>
  <c r="BU28" i="89"/>
  <c r="BT28" i="89"/>
  <c r="BS28" i="89"/>
  <c r="BR28" i="89"/>
  <c r="BP28" i="89"/>
  <c r="AI28" i="89"/>
  <c r="AH28" i="89"/>
  <c r="AF28" i="89"/>
  <c r="AE28" i="89"/>
  <c r="AD28" i="89"/>
  <c r="AC28" i="89"/>
  <c r="AB28" i="89"/>
  <c r="AA28" i="89"/>
  <c r="Z28" i="89"/>
  <c r="X28" i="89"/>
  <c r="W28" i="89"/>
  <c r="V28" i="89"/>
  <c r="DH27" i="89"/>
  <c r="DK27" i="89" s="1"/>
  <c r="DG27" i="89"/>
  <c r="DJ27" i="89" s="1"/>
  <c r="DF27" i="89"/>
  <c r="DI27" i="89" s="1"/>
  <c r="BZ27" i="89"/>
  <c r="BY27" i="89"/>
  <c r="BX27" i="89"/>
  <c r="BV27" i="89"/>
  <c r="BU27" i="89"/>
  <c r="BT27" i="89"/>
  <c r="BS27" i="89"/>
  <c r="BR27" i="89"/>
  <c r="BP27" i="89"/>
  <c r="AI27" i="89"/>
  <c r="AH27" i="89"/>
  <c r="AG27" i="89"/>
  <c r="AE27" i="89"/>
  <c r="AD27" i="89"/>
  <c r="AC27" i="89"/>
  <c r="AB27" i="89"/>
  <c r="AA27" i="89"/>
  <c r="Z27" i="89"/>
  <c r="X27" i="89"/>
  <c r="W27" i="89"/>
  <c r="V27" i="89"/>
  <c r="DH26" i="89"/>
  <c r="DK26" i="89" s="1"/>
  <c r="DG26" i="89"/>
  <c r="DJ26" i="89" s="1"/>
  <c r="DF26" i="89"/>
  <c r="DI26" i="89" s="1"/>
  <c r="BZ26" i="89"/>
  <c r="BY26" i="89"/>
  <c r="BX26" i="89"/>
  <c r="BW26" i="89"/>
  <c r="BV26" i="89"/>
  <c r="BU26" i="89"/>
  <c r="BT26" i="89"/>
  <c r="BS26" i="89"/>
  <c r="BR26" i="89"/>
  <c r="BP26" i="89"/>
  <c r="AI26" i="89"/>
  <c r="AH26" i="89"/>
  <c r="AG26" i="89"/>
  <c r="AF26" i="89"/>
  <c r="AE26" i="89"/>
  <c r="AD26" i="89"/>
  <c r="AC26" i="89"/>
  <c r="AB26" i="89"/>
  <c r="AA26" i="89"/>
  <c r="Z26" i="89"/>
  <c r="X26" i="89"/>
  <c r="W26" i="89"/>
  <c r="V26" i="89"/>
  <c r="DH25" i="89"/>
  <c r="DK25" i="89" s="1"/>
  <c r="DG25" i="89"/>
  <c r="DJ25" i="89" s="1"/>
  <c r="DF25" i="89"/>
  <c r="DI25" i="89" s="1"/>
  <c r="BZ25" i="89"/>
  <c r="BY25" i="89"/>
  <c r="BX25" i="89"/>
  <c r="BW25" i="89"/>
  <c r="BV25" i="89"/>
  <c r="BU25" i="89"/>
  <c r="BT25" i="89"/>
  <c r="BS25" i="89"/>
  <c r="BR25" i="89"/>
  <c r="BP25" i="89"/>
  <c r="AI25" i="89"/>
  <c r="AH25" i="89"/>
  <c r="AG25" i="89"/>
  <c r="AF25" i="89"/>
  <c r="AE25" i="89"/>
  <c r="AD25" i="89"/>
  <c r="AC25" i="89"/>
  <c r="AB25" i="89"/>
  <c r="AA25" i="89"/>
  <c r="Z25" i="89"/>
  <c r="X25" i="89"/>
  <c r="W25" i="89"/>
  <c r="V25" i="89"/>
  <c r="DH24" i="89"/>
  <c r="DK24" i="89" s="1"/>
  <c r="DG24" i="89"/>
  <c r="DJ24" i="89" s="1"/>
  <c r="DF24" i="89"/>
  <c r="DI24" i="89" s="1"/>
  <c r="BZ24" i="89"/>
  <c r="BY24" i="89"/>
  <c r="BX24" i="89"/>
  <c r="BW24" i="89"/>
  <c r="BV24" i="89"/>
  <c r="BU24" i="89"/>
  <c r="BT24" i="89"/>
  <c r="BS24" i="89"/>
  <c r="BR24" i="89"/>
  <c r="BP24" i="89"/>
  <c r="AI24" i="89"/>
  <c r="AH24" i="89"/>
  <c r="AG24" i="89"/>
  <c r="AF24" i="89"/>
  <c r="AE24" i="89"/>
  <c r="AD24" i="89"/>
  <c r="AC24" i="89"/>
  <c r="AB24" i="89"/>
  <c r="AA24" i="89"/>
  <c r="Z24" i="89"/>
  <c r="X24" i="89"/>
  <c r="W24" i="89"/>
  <c r="V24" i="89"/>
  <c r="DH23" i="89"/>
  <c r="DK23" i="89" s="1"/>
  <c r="DG23" i="89"/>
  <c r="DJ23" i="89" s="1"/>
  <c r="DF23" i="89"/>
  <c r="DI23" i="89" s="1"/>
  <c r="BZ23" i="89"/>
  <c r="BY23" i="89"/>
  <c r="BX23" i="89"/>
  <c r="BW23" i="89"/>
  <c r="BV23" i="89"/>
  <c r="BU23" i="89"/>
  <c r="BT23" i="89"/>
  <c r="BS23" i="89"/>
  <c r="BR23" i="89"/>
  <c r="BP23" i="89"/>
  <c r="AI23" i="89"/>
  <c r="AH23" i="89"/>
  <c r="AG23" i="89"/>
  <c r="AF23" i="89"/>
  <c r="AE23" i="89"/>
  <c r="AD23" i="89"/>
  <c r="AC23" i="89"/>
  <c r="AB23" i="89"/>
  <c r="AA23" i="89"/>
  <c r="Z23" i="89"/>
  <c r="X23" i="89"/>
  <c r="W23" i="89"/>
  <c r="V23" i="89"/>
  <c r="DH22" i="89"/>
  <c r="DK22" i="89" s="1"/>
  <c r="DG22" i="89"/>
  <c r="DJ22" i="89" s="1"/>
  <c r="DF22" i="89"/>
  <c r="DI22" i="89" s="1"/>
  <c r="BZ22" i="89"/>
  <c r="BY22" i="89"/>
  <c r="BU22" i="89"/>
  <c r="BT22" i="89"/>
  <c r="BS22" i="89"/>
  <c r="BR22" i="89"/>
  <c r="BP22" i="89"/>
  <c r="AI22" i="89"/>
  <c r="AH22" i="89"/>
  <c r="AD22" i="89"/>
  <c r="AC22" i="89"/>
  <c r="AB22" i="89"/>
  <c r="AA22" i="89"/>
  <c r="Z22" i="89"/>
  <c r="X22" i="89"/>
  <c r="DH21" i="89"/>
  <c r="DK21" i="89" s="1"/>
  <c r="DG21" i="89"/>
  <c r="DJ21" i="89" s="1"/>
  <c r="DF21" i="89"/>
  <c r="DI21" i="89" s="1"/>
  <c r="BZ21" i="89"/>
  <c r="BY21" i="89"/>
  <c r="BX21" i="89"/>
  <c r="BV21" i="89"/>
  <c r="BU21" i="89"/>
  <c r="BT21" i="89"/>
  <c r="BS21" i="89"/>
  <c r="BR21" i="89"/>
  <c r="BP21" i="89"/>
  <c r="AI21" i="89"/>
  <c r="AH21" i="89"/>
  <c r="AG21" i="89"/>
  <c r="AE21" i="89"/>
  <c r="AD21" i="89"/>
  <c r="AC21" i="89"/>
  <c r="AB21" i="89"/>
  <c r="AA21" i="89"/>
  <c r="Z21" i="89"/>
  <c r="X21" i="89"/>
  <c r="W21" i="89"/>
  <c r="V21" i="89"/>
  <c r="DH20" i="89"/>
  <c r="DK20" i="89" s="1"/>
  <c r="DG20" i="89"/>
  <c r="DJ20" i="89" s="1"/>
  <c r="DF20" i="89"/>
  <c r="DI20" i="89" s="1"/>
  <c r="BZ20" i="89"/>
  <c r="BY20" i="89"/>
  <c r="BX20" i="89"/>
  <c r="BW20" i="89"/>
  <c r="BU20" i="89"/>
  <c r="BT20" i="89"/>
  <c r="BS20" i="89"/>
  <c r="BR20" i="89"/>
  <c r="BP20" i="89"/>
  <c r="AI20" i="89"/>
  <c r="AH20" i="89"/>
  <c r="AG20" i="89"/>
  <c r="AF20" i="89"/>
  <c r="AD20" i="89"/>
  <c r="AC20" i="89"/>
  <c r="AB20" i="89"/>
  <c r="AA20" i="89"/>
  <c r="Z20" i="89"/>
  <c r="X20" i="89"/>
  <c r="W20" i="89"/>
  <c r="V20" i="89"/>
  <c r="DH19" i="89"/>
  <c r="DK19" i="89" s="1"/>
  <c r="DG19" i="89"/>
  <c r="DJ19" i="89" s="1"/>
  <c r="DF19" i="89"/>
  <c r="DI19" i="89" s="1"/>
  <c r="BZ19" i="89"/>
  <c r="BY19" i="89"/>
  <c r="BX19" i="89"/>
  <c r="BW19" i="89"/>
  <c r="BV19" i="89"/>
  <c r="BU19" i="89"/>
  <c r="BT19" i="89"/>
  <c r="BS19" i="89"/>
  <c r="BR19" i="89"/>
  <c r="BP19" i="89"/>
  <c r="AI19" i="89"/>
  <c r="AH19" i="89"/>
  <c r="AG19" i="89"/>
  <c r="AF19" i="89"/>
  <c r="AE19" i="89"/>
  <c r="AD19" i="89"/>
  <c r="AC19" i="89"/>
  <c r="AB19" i="89"/>
  <c r="AA19" i="89"/>
  <c r="Z19" i="89"/>
  <c r="X19" i="89"/>
  <c r="W19" i="89"/>
  <c r="V19" i="89"/>
  <c r="DH18" i="89"/>
  <c r="DK18" i="89" s="1"/>
  <c r="DG18" i="89"/>
  <c r="DJ18" i="89" s="1"/>
  <c r="DF18" i="89"/>
  <c r="DI18" i="89" s="1"/>
  <c r="BZ18" i="89"/>
  <c r="BY18" i="89"/>
  <c r="BX18" i="89"/>
  <c r="BW18" i="89"/>
  <c r="BV18" i="89"/>
  <c r="BU18" i="89"/>
  <c r="BT18" i="89"/>
  <c r="BS18" i="89"/>
  <c r="BR18" i="89"/>
  <c r="BP18" i="89"/>
  <c r="AI18" i="89"/>
  <c r="AH18" i="89"/>
  <c r="AG18" i="89"/>
  <c r="AF18" i="89"/>
  <c r="AE18" i="89"/>
  <c r="AD18" i="89"/>
  <c r="AC18" i="89"/>
  <c r="AB18" i="89"/>
  <c r="AA18" i="89"/>
  <c r="Z18" i="89"/>
  <c r="X18" i="89"/>
  <c r="W18" i="89"/>
  <c r="V18" i="89"/>
  <c r="DH17" i="89"/>
  <c r="DK17" i="89" s="1"/>
  <c r="DG17" i="89"/>
  <c r="DJ17" i="89" s="1"/>
  <c r="DF17" i="89"/>
  <c r="DI17" i="89" s="1"/>
  <c r="BZ17" i="89"/>
  <c r="BY17" i="89"/>
  <c r="BX17" i="89"/>
  <c r="BW17" i="89"/>
  <c r="BV17" i="89"/>
  <c r="BU17" i="89"/>
  <c r="BT17" i="89"/>
  <c r="BS17" i="89"/>
  <c r="BR17" i="89"/>
  <c r="BP17" i="89"/>
  <c r="AI17" i="89"/>
  <c r="AH17" i="89"/>
  <c r="AG17" i="89"/>
  <c r="AF17" i="89"/>
  <c r="AE17" i="89"/>
  <c r="AD17" i="89"/>
  <c r="AC17" i="89"/>
  <c r="AB17" i="89"/>
  <c r="AA17" i="89"/>
  <c r="Z17" i="89"/>
  <c r="X17" i="89"/>
  <c r="W17" i="89"/>
  <c r="V17" i="89"/>
  <c r="DH16" i="89"/>
  <c r="DK16" i="89" s="1"/>
  <c r="DG16" i="89"/>
  <c r="DJ16" i="89" s="1"/>
  <c r="DF16" i="89"/>
  <c r="DI16" i="89" s="1"/>
  <c r="BZ16" i="89"/>
  <c r="BY16" i="89"/>
  <c r="BX16" i="89"/>
  <c r="BV16" i="89"/>
  <c r="BU16" i="89"/>
  <c r="BT16" i="89"/>
  <c r="BS16" i="89"/>
  <c r="BR16" i="89"/>
  <c r="BP16" i="89"/>
  <c r="AI16" i="89"/>
  <c r="AH16" i="89"/>
  <c r="AG16" i="89"/>
  <c r="AE16" i="89"/>
  <c r="AD16" i="89"/>
  <c r="AC16" i="89"/>
  <c r="AB16" i="89"/>
  <c r="AA16" i="89"/>
  <c r="Z16" i="89"/>
  <c r="X16" i="89"/>
  <c r="W16" i="89"/>
  <c r="V16" i="89"/>
  <c r="DH15" i="89"/>
  <c r="DK15" i="89" s="1"/>
  <c r="DG15" i="89"/>
  <c r="DJ15" i="89" s="1"/>
  <c r="DF15" i="89"/>
  <c r="DI15" i="89" s="1"/>
  <c r="BZ15" i="89"/>
  <c r="BY15" i="89"/>
  <c r="BX15" i="89"/>
  <c r="BT15" i="89"/>
  <c r="BS15" i="89"/>
  <c r="BR15" i="89"/>
  <c r="BP15" i="89"/>
  <c r="AI15" i="89"/>
  <c r="AH15" i="89"/>
  <c r="AG15" i="89"/>
  <c r="AC15" i="89"/>
  <c r="AB15" i="89"/>
  <c r="AA15" i="89"/>
  <c r="Z15" i="89"/>
  <c r="X15" i="89"/>
  <c r="W15" i="89"/>
  <c r="V15" i="89"/>
  <c r="A15" i="89"/>
  <c r="A11" i="89"/>
  <c r="A1" i="89"/>
  <c r="AW83" i="88"/>
  <c r="CN83" i="88" s="1"/>
  <c r="AW82" i="88"/>
  <c r="CN82" i="88" s="1"/>
  <c r="AW81" i="88"/>
  <c r="CN81" i="88" s="1"/>
  <c r="AW80" i="88"/>
  <c r="CN80" i="88" s="1"/>
  <c r="A55" i="88"/>
  <c r="A51" i="88"/>
  <c r="A50" i="88"/>
  <c r="A49" i="88"/>
  <c r="A48" i="88"/>
  <c r="A46" i="88"/>
  <c r="DK44" i="88"/>
  <c r="DJ44" i="88"/>
  <c r="DH43" i="88"/>
  <c r="DK43" i="88" s="1"/>
  <c r="DG43" i="88"/>
  <c r="DJ43" i="88" s="1"/>
  <c r="DF43" i="88"/>
  <c r="DI43" i="88" s="1"/>
  <c r="BZ43" i="88"/>
  <c r="BY43" i="88"/>
  <c r="BX43" i="88"/>
  <c r="BW43" i="88"/>
  <c r="BV43" i="88"/>
  <c r="BU43" i="88"/>
  <c r="BT43" i="88"/>
  <c r="BS43" i="88"/>
  <c r="BR43" i="88"/>
  <c r="BP43" i="88"/>
  <c r="AI43" i="88"/>
  <c r="AH43" i="88"/>
  <c r="AG43" i="88"/>
  <c r="AF43" i="88"/>
  <c r="AE43" i="88"/>
  <c r="AD43" i="88"/>
  <c r="AC43" i="88"/>
  <c r="AB43" i="88"/>
  <c r="AA43" i="88"/>
  <c r="Z43" i="88"/>
  <c r="X43" i="88"/>
  <c r="W43" i="88"/>
  <c r="V43" i="88"/>
  <c r="DH42" i="88"/>
  <c r="DK42" i="88" s="1"/>
  <c r="DG42" i="88"/>
  <c r="DJ42" i="88" s="1"/>
  <c r="DF42" i="88"/>
  <c r="DI42" i="88" s="1"/>
  <c r="BZ42" i="88"/>
  <c r="BY42" i="88"/>
  <c r="BX42" i="88"/>
  <c r="BW42" i="88"/>
  <c r="BU42" i="88"/>
  <c r="BT42" i="88"/>
  <c r="BS42" i="88"/>
  <c r="BR42" i="88"/>
  <c r="BP42" i="88"/>
  <c r="AI42" i="88"/>
  <c r="AH42" i="88"/>
  <c r="AG42" i="88"/>
  <c r="AF42" i="88"/>
  <c r="AD42" i="88"/>
  <c r="AC42" i="88"/>
  <c r="AB42" i="88"/>
  <c r="AA42" i="88"/>
  <c r="Z42" i="88"/>
  <c r="X42" i="88"/>
  <c r="W42" i="88"/>
  <c r="V42" i="88"/>
  <c r="DH41" i="88"/>
  <c r="DK41" i="88" s="1"/>
  <c r="DG41" i="88"/>
  <c r="DJ41" i="88" s="1"/>
  <c r="DF41" i="88"/>
  <c r="DI41" i="88" s="1"/>
  <c r="BZ41" i="88"/>
  <c r="BY41" i="88"/>
  <c r="BX41" i="88"/>
  <c r="BW41" i="88"/>
  <c r="BV41" i="88"/>
  <c r="BT41" i="88"/>
  <c r="BS41" i="88"/>
  <c r="BR41" i="88"/>
  <c r="BP41" i="88"/>
  <c r="AI41" i="88"/>
  <c r="AH41" i="88"/>
  <c r="AG41" i="88"/>
  <c r="AF41" i="88"/>
  <c r="AE41" i="88"/>
  <c r="AC41" i="88"/>
  <c r="AB41" i="88"/>
  <c r="AA41" i="88"/>
  <c r="Z41" i="88"/>
  <c r="X41" i="88"/>
  <c r="W41" i="88"/>
  <c r="V41" i="88"/>
  <c r="DH40" i="88"/>
  <c r="DK40" i="88" s="1"/>
  <c r="DG40" i="88"/>
  <c r="DJ40" i="88" s="1"/>
  <c r="DF40" i="88"/>
  <c r="DI40" i="88" s="1"/>
  <c r="BZ40" i="88"/>
  <c r="BY40" i="88"/>
  <c r="BX40" i="88"/>
  <c r="BW40" i="88"/>
  <c r="BV40" i="88"/>
  <c r="BU40" i="88"/>
  <c r="BT40" i="88"/>
  <c r="BS40" i="88"/>
  <c r="BR40" i="88"/>
  <c r="BP40" i="88"/>
  <c r="AI40" i="88"/>
  <c r="AH40" i="88"/>
  <c r="AG40" i="88"/>
  <c r="AF40" i="88"/>
  <c r="AE40" i="88"/>
  <c r="AD40" i="88"/>
  <c r="AC40" i="88"/>
  <c r="AB40" i="88"/>
  <c r="AA40" i="88"/>
  <c r="Z40" i="88"/>
  <c r="X40" i="88"/>
  <c r="W40" i="88"/>
  <c r="V40" i="88"/>
  <c r="DH39" i="88"/>
  <c r="DK39" i="88" s="1"/>
  <c r="DG39" i="88"/>
  <c r="DJ39" i="88" s="1"/>
  <c r="DF39" i="88"/>
  <c r="DI39" i="88" s="1"/>
  <c r="BZ39" i="88"/>
  <c r="BY39" i="88"/>
  <c r="BX39" i="88"/>
  <c r="BW39" i="88"/>
  <c r="BV39" i="88"/>
  <c r="BU39" i="88"/>
  <c r="BT39" i="88"/>
  <c r="BS39" i="88"/>
  <c r="BR39" i="88"/>
  <c r="BP39" i="88"/>
  <c r="AI39" i="88"/>
  <c r="AH39" i="88"/>
  <c r="AG39" i="88"/>
  <c r="AF39" i="88"/>
  <c r="AE39" i="88"/>
  <c r="AD39" i="88"/>
  <c r="AC39" i="88"/>
  <c r="AB39" i="88"/>
  <c r="AA39" i="88"/>
  <c r="Z39" i="88"/>
  <c r="X39" i="88"/>
  <c r="W39" i="88"/>
  <c r="V39" i="88"/>
  <c r="DH38" i="88"/>
  <c r="DK38" i="88" s="1"/>
  <c r="DG38" i="88"/>
  <c r="DJ38" i="88" s="1"/>
  <c r="DF38" i="88"/>
  <c r="DI38" i="88" s="1"/>
  <c r="BZ38" i="88"/>
  <c r="BY38" i="88"/>
  <c r="BX38" i="88"/>
  <c r="BW38" i="88"/>
  <c r="BV38" i="88"/>
  <c r="BU38" i="88"/>
  <c r="BT38" i="88"/>
  <c r="BS38" i="88"/>
  <c r="BR38" i="88"/>
  <c r="BP38" i="88"/>
  <c r="AI38" i="88"/>
  <c r="AH38" i="88"/>
  <c r="AG38" i="88"/>
  <c r="AF38" i="88"/>
  <c r="AE38" i="88"/>
  <c r="AD38" i="88"/>
  <c r="AC38" i="88"/>
  <c r="AB38" i="88"/>
  <c r="AA38" i="88"/>
  <c r="Z38" i="88"/>
  <c r="X38" i="88"/>
  <c r="W38" i="88"/>
  <c r="V38" i="88"/>
  <c r="DH37" i="88"/>
  <c r="DK37" i="88" s="1"/>
  <c r="DG37" i="88"/>
  <c r="DJ37" i="88" s="1"/>
  <c r="DF37" i="88"/>
  <c r="DI37" i="88" s="1"/>
  <c r="BZ37" i="88"/>
  <c r="BY37" i="88"/>
  <c r="BX37" i="88"/>
  <c r="BW37" i="88"/>
  <c r="BU37" i="88"/>
  <c r="BT37" i="88"/>
  <c r="BS37" i="88"/>
  <c r="BR37" i="88"/>
  <c r="BP37" i="88"/>
  <c r="AI37" i="88"/>
  <c r="AH37" i="88"/>
  <c r="AG37" i="88"/>
  <c r="AF37" i="88"/>
  <c r="AD37" i="88"/>
  <c r="AC37" i="88"/>
  <c r="AB37" i="88"/>
  <c r="AA37" i="88"/>
  <c r="Z37" i="88"/>
  <c r="X37" i="88"/>
  <c r="W37" i="88"/>
  <c r="V37" i="88"/>
  <c r="DH36" i="88"/>
  <c r="DK36" i="88" s="1"/>
  <c r="DG36" i="88"/>
  <c r="DJ36" i="88" s="1"/>
  <c r="DF36" i="88"/>
  <c r="DI36" i="88" s="1"/>
  <c r="BZ36" i="88"/>
  <c r="BY36" i="88"/>
  <c r="BX36" i="88"/>
  <c r="BW36" i="88"/>
  <c r="BV36" i="88"/>
  <c r="BU36" i="88"/>
  <c r="BT36" i="88"/>
  <c r="BS36" i="88"/>
  <c r="BR36" i="88"/>
  <c r="BP36" i="88"/>
  <c r="AI36" i="88"/>
  <c r="AH36" i="88"/>
  <c r="AG36" i="88"/>
  <c r="AF36" i="88"/>
  <c r="AE36" i="88"/>
  <c r="AD36" i="88"/>
  <c r="AC36" i="88"/>
  <c r="AB36" i="88"/>
  <c r="AA36" i="88"/>
  <c r="Z36" i="88"/>
  <c r="X36" i="88"/>
  <c r="W36" i="88"/>
  <c r="V36" i="88"/>
  <c r="DH35" i="88"/>
  <c r="DK35" i="88" s="1"/>
  <c r="DG35" i="88"/>
  <c r="DJ35" i="88" s="1"/>
  <c r="DF35" i="88"/>
  <c r="DI35" i="88" s="1"/>
  <c r="BZ35" i="88"/>
  <c r="BY35" i="88"/>
  <c r="BX35" i="88"/>
  <c r="BW35" i="88"/>
  <c r="BV35" i="88"/>
  <c r="BT35" i="88"/>
  <c r="BS35" i="88"/>
  <c r="BR35" i="88"/>
  <c r="BP35" i="88"/>
  <c r="AI35" i="88"/>
  <c r="AH35" i="88"/>
  <c r="AG35" i="88"/>
  <c r="AF35" i="88"/>
  <c r="AE35" i="88"/>
  <c r="AC35" i="88"/>
  <c r="AB35" i="88"/>
  <c r="AA35" i="88"/>
  <c r="Z35" i="88"/>
  <c r="X35" i="88"/>
  <c r="W35" i="88"/>
  <c r="V35" i="88"/>
  <c r="DH34" i="88"/>
  <c r="DK34" i="88" s="1"/>
  <c r="DG34" i="88"/>
  <c r="DJ34" i="88" s="1"/>
  <c r="DF34" i="88"/>
  <c r="DI34" i="88" s="1"/>
  <c r="BZ34" i="88"/>
  <c r="BY34" i="88"/>
  <c r="BW34" i="88"/>
  <c r="BV34" i="88"/>
  <c r="BU34" i="88"/>
  <c r="BT34" i="88"/>
  <c r="BS34" i="88"/>
  <c r="BR34" i="88"/>
  <c r="BP34" i="88"/>
  <c r="AI34" i="88"/>
  <c r="AH34" i="88"/>
  <c r="AF34" i="88"/>
  <c r="AE34" i="88"/>
  <c r="AD34" i="88"/>
  <c r="AC34" i="88"/>
  <c r="AB34" i="88"/>
  <c r="AA34" i="88"/>
  <c r="Z34" i="88"/>
  <c r="X34" i="88"/>
  <c r="W34" i="88"/>
  <c r="V34" i="88"/>
  <c r="DH33" i="88"/>
  <c r="DK33" i="88" s="1"/>
  <c r="DG33" i="88"/>
  <c r="DJ33" i="88" s="1"/>
  <c r="DF33" i="88"/>
  <c r="DI33" i="88" s="1"/>
  <c r="BZ33" i="88"/>
  <c r="BY33" i="88"/>
  <c r="BX33" i="88"/>
  <c r="BW33" i="88"/>
  <c r="BV33" i="88"/>
  <c r="BU33" i="88"/>
  <c r="BT33" i="88"/>
  <c r="BS33" i="88"/>
  <c r="BR33" i="88"/>
  <c r="BP33" i="88"/>
  <c r="AI33" i="88"/>
  <c r="AH33" i="88"/>
  <c r="AG33" i="88"/>
  <c r="AF33" i="88"/>
  <c r="AE33" i="88"/>
  <c r="AD33" i="88"/>
  <c r="AC33" i="88"/>
  <c r="AB33" i="88"/>
  <c r="AA33" i="88"/>
  <c r="Z33" i="88"/>
  <c r="X33" i="88"/>
  <c r="W33" i="88"/>
  <c r="V33" i="88"/>
  <c r="DH32" i="88"/>
  <c r="DK32" i="88" s="1"/>
  <c r="DG32" i="88"/>
  <c r="DJ32" i="88" s="1"/>
  <c r="DF32" i="88"/>
  <c r="DI32" i="88" s="1"/>
  <c r="BZ32" i="88"/>
  <c r="BY32" i="88"/>
  <c r="BX32" i="88"/>
  <c r="BW32" i="88"/>
  <c r="BV32" i="88"/>
  <c r="BU32" i="88"/>
  <c r="BT32" i="88"/>
  <c r="BS32" i="88"/>
  <c r="BR32" i="88"/>
  <c r="BP32" i="88"/>
  <c r="AI32" i="88"/>
  <c r="AH32" i="88"/>
  <c r="AG32" i="88"/>
  <c r="AF32" i="88"/>
  <c r="AE32" i="88"/>
  <c r="AD32" i="88"/>
  <c r="AC32" i="88"/>
  <c r="AB32" i="88"/>
  <c r="AA32" i="88"/>
  <c r="Z32" i="88"/>
  <c r="X32" i="88"/>
  <c r="W32" i="88"/>
  <c r="V32" i="88"/>
  <c r="DH31" i="88"/>
  <c r="DK31" i="88" s="1"/>
  <c r="DG31" i="88"/>
  <c r="DJ31" i="88" s="1"/>
  <c r="DF31" i="88"/>
  <c r="DI31" i="88" s="1"/>
  <c r="BZ31" i="88"/>
  <c r="BY31" i="88"/>
  <c r="BX31" i="88"/>
  <c r="BW31" i="88"/>
  <c r="BV31" i="88"/>
  <c r="BU31" i="88"/>
  <c r="BT31" i="88"/>
  <c r="BS31" i="88"/>
  <c r="BR31" i="88"/>
  <c r="BP31" i="88"/>
  <c r="AI31" i="88"/>
  <c r="AH31" i="88"/>
  <c r="AG31" i="88"/>
  <c r="AF31" i="88"/>
  <c r="AE31" i="88"/>
  <c r="AD31" i="88"/>
  <c r="AC31" i="88"/>
  <c r="AB31" i="88"/>
  <c r="AA31" i="88"/>
  <c r="Z31" i="88"/>
  <c r="X31" i="88"/>
  <c r="W31" i="88"/>
  <c r="V31" i="88"/>
  <c r="DH30" i="88"/>
  <c r="DK30" i="88" s="1"/>
  <c r="DG30" i="88"/>
  <c r="DJ30" i="88" s="1"/>
  <c r="DF30" i="88"/>
  <c r="DI30" i="88" s="1"/>
  <c r="BZ30" i="88"/>
  <c r="BY30" i="88"/>
  <c r="BX30" i="88"/>
  <c r="BW30" i="88"/>
  <c r="BT30" i="88"/>
  <c r="BS30" i="88"/>
  <c r="BR30" i="88"/>
  <c r="BP30" i="88"/>
  <c r="AI30" i="88"/>
  <c r="AH30" i="88"/>
  <c r="AG30" i="88"/>
  <c r="AF30" i="88"/>
  <c r="AC30" i="88"/>
  <c r="AB30" i="88"/>
  <c r="AA30" i="88"/>
  <c r="Z30" i="88"/>
  <c r="X30" i="88"/>
  <c r="W30" i="88"/>
  <c r="V30" i="88"/>
  <c r="DH29" i="88"/>
  <c r="DK29" i="88" s="1"/>
  <c r="DG29" i="88"/>
  <c r="DJ29" i="88" s="1"/>
  <c r="DF29" i="88"/>
  <c r="DI29" i="88" s="1"/>
  <c r="BZ29" i="88"/>
  <c r="BY29" i="88"/>
  <c r="BX29" i="88"/>
  <c r="BW29" i="88"/>
  <c r="BV29" i="88"/>
  <c r="BU29" i="88"/>
  <c r="BT29" i="88"/>
  <c r="BS29" i="88"/>
  <c r="BR29" i="88"/>
  <c r="BP29" i="88"/>
  <c r="AI29" i="88"/>
  <c r="AH29" i="88"/>
  <c r="AG29" i="88"/>
  <c r="AF29" i="88"/>
  <c r="AE29" i="88"/>
  <c r="AD29" i="88"/>
  <c r="AC29" i="88"/>
  <c r="AB29" i="88"/>
  <c r="AA29" i="88"/>
  <c r="Z29" i="88"/>
  <c r="X29" i="88"/>
  <c r="W29" i="88"/>
  <c r="V29" i="88"/>
  <c r="DH28" i="88"/>
  <c r="DK28" i="88" s="1"/>
  <c r="DG28" i="88"/>
  <c r="DJ28" i="88" s="1"/>
  <c r="DF28" i="88"/>
  <c r="DI28" i="88" s="1"/>
  <c r="BZ28" i="88"/>
  <c r="BY28" i="88"/>
  <c r="BW28" i="88"/>
  <c r="BV28" i="88"/>
  <c r="BU28" i="88"/>
  <c r="BT28" i="88"/>
  <c r="BS28" i="88"/>
  <c r="BR28" i="88"/>
  <c r="BP28" i="88"/>
  <c r="AI28" i="88"/>
  <c r="AH28" i="88"/>
  <c r="AF28" i="88"/>
  <c r="AE28" i="88"/>
  <c r="AD28" i="88"/>
  <c r="AC28" i="88"/>
  <c r="AB28" i="88"/>
  <c r="AA28" i="88"/>
  <c r="Z28" i="88"/>
  <c r="X28" i="88"/>
  <c r="W28" i="88"/>
  <c r="V28" i="88"/>
  <c r="DH27" i="88"/>
  <c r="DK27" i="88" s="1"/>
  <c r="DG27" i="88"/>
  <c r="DJ27" i="88" s="1"/>
  <c r="DF27" i="88"/>
  <c r="DI27" i="88" s="1"/>
  <c r="BZ27" i="88"/>
  <c r="BY27" i="88"/>
  <c r="BX27" i="88"/>
  <c r="BV27" i="88"/>
  <c r="BU27" i="88"/>
  <c r="BT27" i="88"/>
  <c r="BS27" i="88"/>
  <c r="BR27" i="88"/>
  <c r="BP27" i="88"/>
  <c r="AI27" i="88"/>
  <c r="AH27" i="88"/>
  <c r="AG27" i="88"/>
  <c r="AE27" i="88"/>
  <c r="AD27" i="88"/>
  <c r="AC27" i="88"/>
  <c r="AB27" i="88"/>
  <c r="AA27" i="88"/>
  <c r="Z27" i="88"/>
  <c r="X27" i="88"/>
  <c r="W27" i="88"/>
  <c r="V27" i="88"/>
  <c r="DH26" i="88"/>
  <c r="DK26" i="88" s="1"/>
  <c r="DG26" i="88"/>
  <c r="DJ26" i="88" s="1"/>
  <c r="DF26" i="88"/>
  <c r="DI26" i="88" s="1"/>
  <c r="BZ26" i="88"/>
  <c r="BY26" i="88"/>
  <c r="BX26" i="88"/>
  <c r="BW26" i="88"/>
  <c r="BV26" i="88"/>
  <c r="BU26" i="88"/>
  <c r="BT26" i="88"/>
  <c r="BS26" i="88"/>
  <c r="BR26" i="88"/>
  <c r="BP26" i="88"/>
  <c r="AI26" i="88"/>
  <c r="AH26" i="88"/>
  <c r="AG26" i="88"/>
  <c r="AF26" i="88"/>
  <c r="AE26" i="88"/>
  <c r="AD26" i="88"/>
  <c r="AC26" i="88"/>
  <c r="AB26" i="88"/>
  <c r="AA26" i="88"/>
  <c r="Z26" i="88"/>
  <c r="X26" i="88"/>
  <c r="W26" i="88"/>
  <c r="V26" i="88"/>
  <c r="DH25" i="88"/>
  <c r="DK25" i="88" s="1"/>
  <c r="DG25" i="88"/>
  <c r="DJ25" i="88" s="1"/>
  <c r="DF25" i="88"/>
  <c r="DI25" i="88" s="1"/>
  <c r="BZ25" i="88"/>
  <c r="BY25" i="88"/>
  <c r="BX25" i="88"/>
  <c r="BW25" i="88"/>
  <c r="BV25" i="88"/>
  <c r="BU25" i="88"/>
  <c r="BT25" i="88"/>
  <c r="BS25" i="88"/>
  <c r="BR25" i="88"/>
  <c r="BP25" i="88"/>
  <c r="AI25" i="88"/>
  <c r="AH25" i="88"/>
  <c r="AG25" i="88"/>
  <c r="AF25" i="88"/>
  <c r="AE25" i="88"/>
  <c r="AD25" i="88"/>
  <c r="AC25" i="88"/>
  <c r="AB25" i="88"/>
  <c r="AA25" i="88"/>
  <c r="Z25" i="88"/>
  <c r="X25" i="88"/>
  <c r="W25" i="88"/>
  <c r="V25" i="88"/>
  <c r="DH24" i="88"/>
  <c r="DK24" i="88" s="1"/>
  <c r="DG24" i="88"/>
  <c r="DJ24" i="88" s="1"/>
  <c r="DF24" i="88"/>
  <c r="DI24" i="88" s="1"/>
  <c r="BZ24" i="88"/>
  <c r="BY24" i="88"/>
  <c r="BX24" i="88"/>
  <c r="BW24" i="88"/>
  <c r="BV24" i="88"/>
  <c r="BU24" i="88"/>
  <c r="BT24" i="88"/>
  <c r="BS24" i="88"/>
  <c r="BR24" i="88"/>
  <c r="BP24" i="88"/>
  <c r="AI24" i="88"/>
  <c r="AH24" i="88"/>
  <c r="AG24" i="88"/>
  <c r="AF24" i="88"/>
  <c r="AE24" i="88"/>
  <c r="AD24" i="88"/>
  <c r="AC24" i="88"/>
  <c r="AB24" i="88"/>
  <c r="AA24" i="88"/>
  <c r="Z24" i="88"/>
  <c r="X24" i="88"/>
  <c r="W24" i="88"/>
  <c r="V24" i="88"/>
  <c r="DH23" i="88"/>
  <c r="DK23" i="88" s="1"/>
  <c r="DG23" i="88"/>
  <c r="DJ23" i="88" s="1"/>
  <c r="DF23" i="88"/>
  <c r="DI23" i="88" s="1"/>
  <c r="BZ23" i="88"/>
  <c r="BY23" i="88"/>
  <c r="BW23" i="88"/>
  <c r="BV23" i="88"/>
  <c r="BT23" i="88"/>
  <c r="BS23" i="88"/>
  <c r="BR23" i="88"/>
  <c r="BP23" i="88"/>
  <c r="AI23" i="88"/>
  <c r="AH23" i="88"/>
  <c r="AF23" i="88"/>
  <c r="AE23" i="88"/>
  <c r="AC23" i="88"/>
  <c r="AB23" i="88"/>
  <c r="AA23" i="88"/>
  <c r="Z23" i="88"/>
  <c r="X23" i="88"/>
  <c r="W23" i="88"/>
  <c r="V23" i="88"/>
  <c r="DH22" i="88"/>
  <c r="DK22" i="88" s="1"/>
  <c r="DG22" i="88"/>
  <c r="DJ22" i="88" s="1"/>
  <c r="DF22" i="88"/>
  <c r="DI22" i="88" s="1"/>
  <c r="BZ22" i="88"/>
  <c r="BY22" i="88"/>
  <c r="BX22" i="88"/>
  <c r="BW22" i="88"/>
  <c r="BV22" i="88"/>
  <c r="BU22" i="88"/>
  <c r="BT22" i="88"/>
  <c r="BS22" i="88"/>
  <c r="BR22" i="88"/>
  <c r="BP22" i="88"/>
  <c r="AI22" i="88"/>
  <c r="AH22" i="88"/>
  <c r="AG22" i="88"/>
  <c r="AF22" i="88"/>
  <c r="AE22" i="88"/>
  <c r="AD22" i="88"/>
  <c r="AC22" i="88"/>
  <c r="AB22" i="88"/>
  <c r="AA22" i="88"/>
  <c r="Z22" i="88"/>
  <c r="X22" i="88"/>
  <c r="DH21" i="88"/>
  <c r="DK21" i="88" s="1"/>
  <c r="DG21" i="88"/>
  <c r="DJ21" i="88" s="1"/>
  <c r="DF21" i="88"/>
  <c r="DI21" i="88" s="1"/>
  <c r="BZ21" i="88"/>
  <c r="BY21" i="88"/>
  <c r="BX21" i="88"/>
  <c r="BV21" i="88"/>
  <c r="BU21" i="88"/>
  <c r="BT21" i="88"/>
  <c r="BS21" i="88"/>
  <c r="BR21" i="88"/>
  <c r="BP21" i="88"/>
  <c r="AI21" i="88"/>
  <c r="AH21" i="88"/>
  <c r="AG21" i="88"/>
  <c r="AE21" i="88"/>
  <c r="AD21" i="88"/>
  <c r="AC21" i="88"/>
  <c r="AB21" i="88"/>
  <c r="AA21" i="88"/>
  <c r="Z21" i="88"/>
  <c r="X21" i="88"/>
  <c r="W21" i="88"/>
  <c r="V21" i="88"/>
  <c r="DH20" i="88"/>
  <c r="DK20" i="88" s="1"/>
  <c r="DG20" i="88"/>
  <c r="DJ20" i="88" s="1"/>
  <c r="DF20" i="88"/>
  <c r="DI20" i="88" s="1"/>
  <c r="BZ20" i="88"/>
  <c r="BY20" i="88"/>
  <c r="BX20" i="88"/>
  <c r="BW20" i="88"/>
  <c r="BU20" i="88"/>
  <c r="BT20" i="88"/>
  <c r="BS20" i="88"/>
  <c r="BR20" i="88"/>
  <c r="BP20" i="88"/>
  <c r="AI20" i="88"/>
  <c r="AH20" i="88"/>
  <c r="AG20" i="88"/>
  <c r="AF20" i="88"/>
  <c r="AD20" i="88"/>
  <c r="AC20" i="88"/>
  <c r="AB20" i="88"/>
  <c r="AA20" i="88"/>
  <c r="Z20" i="88"/>
  <c r="X20" i="88"/>
  <c r="W20" i="88"/>
  <c r="V20" i="88"/>
  <c r="DH19" i="88"/>
  <c r="DK19" i="88" s="1"/>
  <c r="DG19" i="88"/>
  <c r="DJ19" i="88" s="1"/>
  <c r="DF19" i="88"/>
  <c r="DI19" i="88" s="1"/>
  <c r="BZ19" i="88"/>
  <c r="BY19" i="88"/>
  <c r="BX19" i="88"/>
  <c r="BW19" i="88"/>
  <c r="BV19" i="88"/>
  <c r="BU19" i="88"/>
  <c r="BT19" i="88"/>
  <c r="BS19" i="88"/>
  <c r="BR19" i="88"/>
  <c r="BP19" i="88"/>
  <c r="AI19" i="88"/>
  <c r="AH19" i="88"/>
  <c r="AG19" i="88"/>
  <c r="AF19" i="88"/>
  <c r="AE19" i="88"/>
  <c r="AD19" i="88"/>
  <c r="AC19" i="88"/>
  <c r="AB19" i="88"/>
  <c r="AA19" i="88"/>
  <c r="Z19" i="88"/>
  <c r="X19" i="88"/>
  <c r="W19" i="88"/>
  <c r="V19" i="88"/>
  <c r="DH18" i="88"/>
  <c r="DK18" i="88" s="1"/>
  <c r="DG18" i="88"/>
  <c r="DJ18" i="88" s="1"/>
  <c r="DF18" i="88"/>
  <c r="DI18" i="88" s="1"/>
  <c r="BZ18" i="88"/>
  <c r="BY18" i="88"/>
  <c r="BX18" i="88"/>
  <c r="BW18" i="88"/>
  <c r="BV18" i="88"/>
  <c r="BU18" i="88"/>
  <c r="BT18" i="88"/>
  <c r="BS18" i="88"/>
  <c r="BR18" i="88"/>
  <c r="BP18" i="88"/>
  <c r="AI18" i="88"/>
  <c r="AH18" i="88"/>
  <c r="AG18" i="88"/>
  <c r="AF18" i="88"/>
  <c r="AE18" i="88"/>
  <c r="AD18" i="88"/>
  <c r="AC18" i="88"/>
  <c r="AB18" i="88"/>
  <c r="AA18" i="88"/>
  <c r="Z18" i="88"/>
  <c r="X18" i="88"/>
  <c r="W18" i="88"/>
  <c r="V18" i="88"/>
  <c r="DH17" i="88"/>
  <c r="DK17" i="88" s="1"/>
  <c r="DG17" i="88"/>
  <c r="DJ17" i="88" s="1"/>
  <c r="DF17" i="88"/>
  <c r="DI17" i="88" s="1"/>
  <c r="BZ17" i="88"/>
  <c r="BY17" i="88"/>
  <c r="BX17" i="88"/>
  <c r="BW17" i="88"/>
  <c r="BV17" i="88"/>
  <c r="BU17" i="88"/>
  <c r="BT17" i="88"/>
  <c r="BS17" i="88"/>
  <c r="BR17" i="88"/>
  <c r="BP17" i="88"/>
  <c r="AI17" i="88"/>
  <c r="AH17" i="88"/>
  <c r="AG17" i="88"/>
  <c r="AF17" i="88"/>
  <c r="AE17" i="88"/>
  <c r="AD17" i="88"/>
  <c r="AC17" i="88"/>
  <c r="AB17" i="88"/>
  <c r="AA17" i="88"/>
  <c r="Z17" i="88"/>
  <c r="X17" i="88"/>
  <c r="W17" i="88"/>
  <c r="V17" i="88"/>
  <c r="DH16" i="88"/>
  <c r="DK16" i="88" s="1"/>
  <c r="DG16" i="88"/>
  <c r="DJ16" i="88" s="1"/>
  <c r="DF16" i="88"/>
  <c r="DI16" i="88" s="1"/>
  <c r="BZ16" i="88"/>
  <c r="BY16" i="88"/>
  <c r="BU16" i="88"/>
  <c r="BT16" i="88"/>
  <c r="BS16" i="88"/>
  <c r="BR16" i="88"/>
  <c r="BP16" i="88"/>
  <c r="AI16" i="88"/>
  <c r="AH16" i="88"/>
  <c r="AD16" i="88"/>
  <c r="AC16" i="88"/>
  <c r="AB16" i="88"/>
  <c r="AA16" i="88"/>
  <c r="Z16" i="88"/>
  <c r="X16" i="88"/>
  <c r="W16" i="88"/>
  <c r="V16" i="88"/>
  <c r="DH15" i="88"/>
  <c r="DK15" i="88" s="1"/>
  <c r="DG15" i="88"/>
  <c r="DJ15" i="88" s="1"/>
  <c r="DF15" i="88"/>
  <c r="DI15" i="88" s="1"/>
  <c r="BZ15" i="88"/>
  <c r="BY15" i="88"/>
  <c r="BX15" i="88"/>
  <c r="BW15" i="88"/>
  <c r="BV15" i="88"/>
  <c r="BU15" i="88"/>
  <c r="BT15" i="88"/>
  <c r="BS15" i="88"/>
  <c r="BR15" i="88"/>
  <c r="BP15" i="88"/>
  <c r="AI15" i="88"/>
  <c r="AH15" i="88"/>
  <c r="AG15" i="88"/>
  <c r="AF15" i="88"/>
  <c r="AE15" i="88"/>
  <c r="AD15" i="88"/>
  <c r="AC15" i="88"/>
  <c r="AB15" i="88"/>
  <c r="AA15" i="88"/>
  <c r="Z15" i="88"/>
  <c r="X15" i="88"/>
  <c r="W15" i="88"/>
  <c r="V15" i="88"/>
  <c r="A15" i="88"/>
  <c r="A11" i="88"/>
  <c r="A1" i="88"/>
  <c r="AW85" i="87"/>
  <c r="CN85" i="87" s="1"/>
  <c r="AW84" i="87"/>
  <c r="CN84" i="87" s="1"/>
  <c r="AW83" i="87"/>
  <c r="CN83" i="87" s="1"/>
  <c r="AW82" i="87"/>
  <c r="CN82" i="87" s="1"/>
  <c r="A57" i="87"/>
  <c r="A53" i="87"/>
  <c r="A52" i="87"/>
  <c r="A51" i="87"/>
  <c r="A50" i="87"/>
  <c r="A48" i="87"/>
  <c r="DK46" i="87"/>
  <c r="DJ46" i="87"/>
  <c r="DL46" i="87" s="1"/>
  <c r="U46" i="87"/>
  <c r="T46" i="87"/>
  <c r="S46" i="87"/>
  <c r="M46" i="87"/>
  <c r="DH45" i="87"/>
  <c r="DK45" i="87" s="1"/>
  <c r="DG45" i="87"/>
  <c r="DJ45" i="87" s="1"/>
  <c r="DF45" i="87"/>
  <c r="DI45" i="87" s="1"/>
  <c r="BZ45" i="87"/>
  <c r="BY45" i="87"/>
  <c r="BX45" i="87"/>
  <c r="BW45" i="87"/>
  <c r="BU45" i="87"/>
  <c r="BT45" i="87"/>
  <c r="BS45" i="87"/>
  <c r="BR45" i="87"/>
  <c r="BP45" i="87"/>
  <c r="AI45" i="87"/>
  <c r="AH45" i="87"/>
  <c r="AG45" i="87"/>
  <c r="AF45" i="87"/>
  <c r="AD45" i="87"/>
  <c r="AC45" i="87"/>
  <c r="AB45" i="87"/>
  <c r="AA45" i="87"/>
  <c r="Z45" i="87"/>
  <c r="X45" i="87"/>
  <c r="W45" i="87"/>
  <c r="V45" i="87"/>
  <c r="DH44" i="87"/>
  <c r="DK44" i="87" s="1"/>
  <c r="DG44" i="87"/>
  <c r="DJ44" i="87" s="1"/>
  <c r="DF44" i="87"/>
  <c r="DI44" i="87" s="1"/>
  <c r="BZ44" i="87"/>
  <c r="BY44" i="87"/>
  <c r="BX44" i="87"/>
  <c r="BW44" i="87"/>
  <c r="BV44" i="87"/>
  <c r="BT44" i="87"/>
  <c r="BS44" i="87"/>
  <c r="BR44" i="87"/>
  <c r="BP44" i="87"/>
  <c r="AI44" i="87"/>
  <c r="AH44" i="87"/>
  <c r="AG44" i="87"/>
  <c r="AF44" i="87"/>
  <c r="AE44" i="87"/>
  <c r="AC44" i="87"/>
  <c r="AB44" i="87"/>
  <c r="AA44" i="87"/>
  <c r="Z44" i="87"/>
  <c r="X44" i="87"/>
  <c r="W44" i="87"/>
  <c r="V44" i="87"/>
  <c r="DH43" i="87"/>
  <c r="DK43" i="87" s="1"/>
  <c r="DG43" i="87"/>
  <c r="DJ43" i="87" s="1"/>
  <c r="DF43" i="87"/>
  <c r="DI43" i="87" s="1"/>
  <c r="BZ43" i="87"/>
  <c r="BY43" i="87"/>
  <c r="BX43" i="87"/>
  <c r="BW43" i="87"/>
  <c r="BV43" i="87"/>
  <c r="BU43" i="87"/>
  <c r="BT43" i="87"/>
  <c r="BS43" i="87"/>
  <c r="BR43" i="87"/>
  <c r="BP43" i="87"/>
  <c r="AI43" i="87"/>
  <c r="AH43" i="87"/>
  <c r="AG43" i="87"/>
  <c r="AF43" i="87"/>
  <c r="AE43" i="87"/>
  <c r="AD43" i="87"/>
  <c r="AC43" i="87"/>
  <c r="AB43" i="87"/>
  <c r="AA43" i="87"/>
  <c r="Z43" i="87"/>
  <c r="X43" i="87"/>
  <c r="W43" i="87"/>
  <c r="V43" i="87"/>
  <c r="DH42" i="87"/>
  <c r="DK42" i="87" s="1"/>
  <c r="DG42" i="87"/>
  <c r="DJ42" i="87" s="1"/>
  <c r="DF42" i="87"/>
  <c r="DI42" i="87" s="1"/>
  <c r="BZ42" i="87"/>
  <c r="BY42" i="87"/>
  <c r="BX42" i="87"/>
  <c r="BW42" i="87"/>
  <c r="BV42" i="87"/>
  <c r="BU42" i="87"/>
  <c r="BT42" i="87"/>
  <c r="BS42" i="87"/>
  <c r="BR42" i="87"/>
  <c r="BP42" i="87"/>
  <c r="AI42" i="87"/>
  <c r="AH42" i="87"/>
  <c r="AG42" i="87"/>
  <c r="AF42" i="87"/>
  <c r="AE42" i="87"/>
  <c r="AD42" i="87"/>
  <c r="AC42" i="87"/>
  <c r="AB42" i="87"/>
  <c r="AA42" i="87"/>
  <c r="Z42" i="87"/>
  <c r="X42" i="87"/>
  <c r="W42" i="87"/>
  <c r="V42" i="87"/>
  <c r="DH41" i="87"/>
  <c r="DK41" i="87" s="1"/>
  <c r="DG41" i="87"/>
  <c r="DJ41" i="87" s="1"/>
  <c r="DF41" i="87"/>
  <c r="DI41" i="87" s="1"/>
  <c r="BZ41" i="87"/>
  <c r="BY41" i="87"/>
  <c r="BX41" i="87"/>
  <c r="BW41" i="87"/>
  <c r="BV41" i="87"/>
  <c r="BU41" i="87"/>
  <c r="BT41" i="87"/>
  <c r="BS41" i="87"/>
  <c r="BR41" i="87"/>
  <c r="BP41" i="87"/>
  <c r="AI41" i="87"/>
  <c r="AH41" i="87"/>
  <c r="AG41" i="87"/>
  <c r="AF41" i="87"/>
  <c r="AE41" i="87"/>
  <c r="AD41" i="87"/>
  <c r="AC41" i="87"/>
  <c r="AB41" i="87"/>
  <c r="AA41" i="87"/>
  <c r="Z41" i="87"/>
  <c r="X41" i="87"/>
  <c r="W41" i="87"/>
  <c r="V41" i="87"/>
  <c r="DH40" i="87"/>
  <c r="DK40" i="87" s="1"/>
  <c r="DG40" i="87"/>
  <c r="DJ40" i="87" s="1"/>
  <c r="DF40" i="87"/>
  <c r="DI40" i="87" s="1"/>
  <c r="BZ40" i="87"/>
  <c r="BY40" i="87"/>
  <c r="BT40" i="87"/>
  <c r="BS40" i="87"/>
  <c r="BR40" i="87"/>
  <c r="BP40" i="87"/>
  <c r="AI40" i="87"/>
  <c r="AH40" i="87"/>
  <c r="AC40" i="87"/>
  <c r="AB40" i="87"/>
  <c r="AA40" i="87"/>
  <c r="Z40" i="87"/>
  <c r="X40" i="87"/>
  <c r="W40" i="87"/>
  <c r="V40" i="87"/>
  <c r="DH39" i="87"/>
  <c r="DK39" i="87" s="1"/>
  <c r="DG39" i="87"/>
  <c r="DJ39" i="87" s="1"/>
  <c r="DF39" i="87"/>
  <c r="DI39" i="87" s="1"/>
  <c r="BZ39" i="87"/>
  <c r="BY39" i="87"/>
  <c r="BX39" i="87"/>
  <c r="BW39" i="87"/>
  <c r="BV39" i="87"/>
  <c r="BU39" i="87"/>
  <c r="BT39" i="87"/>
  <c r="BS39" i="87"/>
  <c r="BR39" i="87"/>
  <c r="BP39" i="87"/>
  <c r="AI39" i="87"/>
  <c r="AH39" i="87"/>
  <c r="AG39" i="87"/>
  <c r="AF39" i="87"/>
  <c r="AE39" i="87"/>
  <c r="AD39" i="87"/>
  <c r="AC39" i="87"/>
  <c r="AB39" i="87"/>
  <c r="AA39" i="87"/>
  <c r="Z39" i="87"/>
  <c r="X39" i="87"/>
  <c r="W39" i="87"/>
  <c r="DH38" i="87"/>
  <c r="DK38" i="87" s="1"/>
  <c r="DG38" i="87"/>
  <c r="DJ38" i="87" s="1"/>
  <c r="DF38" i="87"/>
  <c r="DI38" i="87" s="1"/>
  <c r="BZ38" i="87"/>
  <c r="BY38" i="87"/>
  <c r="BX38" i="87"/>
  <c r="BW38" i="87"/>
  <c r="BV38" i="87"/>
  <c r="BT38" i="87"/>
  <c r="BS38" i="87"/>
  <c r="BR38" i="87"/>
  <c r="BP38" i="87"/>
  <c r="AI38" i="87"/>
  <c r="AH38" i="87"/>
  <c r="AG38" i="87"/>
  <c r="AF38" i="87"/>
  <c r="AE38" i="87"/>
  <c r="AC38" i="87"/>
  <c r="AB38" i="87"/>
  <c r="AA38" i="87"/>
  <c r="Z38" i="87"/>
  <c r="X38" i="87"/>
  <c r="W38" i="87"/>
  <c r="V38" i="87"/>
  <c r="DH37" i="87"/>
  <c r="DK37" i="87" s="1"/>
  <c r="DG37" i="87"/>
  <c r="DJ37" i="87" s="1"/>
  <c r="DF37" i="87"/>
  <c r="DI37" i="87" s="1"/>
  <c r="BZ37" i="87"/>
  <c r="BY37" i="87"/>
  <c r="BW37" i="87"/>
  <c r="BV37" i="87"/>
  <c r="BU37" i="87"/>
  <c r="BT37" i="87"/>
  <c r="BS37" i="87"/>
  <c r="BR37" i="87"/>
  <c r="BP37" i="87"/>
  <c r="AI37" i="87"/>
  <c r="AH37" i="87"/>
  <c r="AF37" i="87"/>
  <c r="AE37" i="87"/>
  <c r="AD37" i="87"/>
  <c r="AC37" i="87"/>
  <c r="AB37" i="87"/>
  <c r="AA37" i="87"/>
  <c r="Z37" i="87"/>
  <c r="X37" i="87"/>
  <c r="W37" i="87"/>
  <c r="V37" i="87"/>
  <c r="DH36" i="87"/>
  <c r="DK36" i="87" s="1"/>
  <c r="DG36" i="87"/>
  <c r="DJ36" i="87" s="1"/>
  <c r="DF36" i="87"/>
  <c r="DI36" i="87" s="1"/>
  <c r="BZ36" i="87"/>
  <c r="BY36" i="87"/>
  <c r="BX36" i="87"/>
  <c r="BW36" i="87"/>
  <c r="BV36" i="87"/>
  <c r="BU36" i="87"/>
  <c r="BT36" i="87"/>
  <c r="BS36" i="87"/>
  <c r="BR36" i="87"/>
  <c r="BP36" i="87"/>
  <c r="AI36" i="87"/>
  <c r="AH36" i="87"/>
  <c r="AG36" i="87"/>
  <c r="AF36" i="87"/>
  <c r="AE36" i="87"/>
  <c r="AD36" i="87"/>
  <c r="AC36" i="87"/>
  <c r="AB36" i="87"/>
  <c r="AA36" i="87"/>
  <c r="Z36" i="87"/>
  <c r="X36" i="87"/>
  <c r="W36" i="87"/>
  <c r="V36" i="87"/>
  <c r="DH35" i="87"/>
  <c r="DK35" i="87" s="1"/>
  <c r="DG35" i="87"/>
  <c r="DJ35" i="87" s="1"/>
  <c r="DF35" i="87"/>
  <c r="DI35" i="87" s="1"/>
  <c r="BZ35" i="87"/>
  <c r="BY35" i="87"/>
  <c r="BX35" i="87"/>
  <c r="BW35" i="87"/>
  <c r="BV35" i="87"/>
  <c r="BU35" i="87"/>
  <c r="BT35" i="87"/>
  <c r="BS35" i="87"/>
  <c r="BR35" i="87"/>
  <c r="BP35" i="87"/>
  <c r="AI35" i="87"/>
  <c r="AH35" i="87"/>
  <c r="AG35" i="87"/>
  <c r="AF35" i="87"/>
  <c r="AE35" i="87"/>
  <c r="AD35" i="87"/>
  <c r="AC35" i="87"/>
  <c r="AB35" i="87"/>
  <c r="AA35" i="87"/>
  <c r="Z35" i="87"/>
  <c r="X35" i="87"/>
  <c r="W35" i="87"/>
  <c r="V35" i="87"/>
  <c r="DH34" i="87"/>
  <c r="DK34" i="87" s="1"/>
  <c r="DG34" i="87"/>
  <c r="DJ34" i="87" s="1"/>
  <c r="DF34" i="87"/>
  <c r="DI34" i="87" s="1"/>
  <c r="BZ34" i="87"/>
  <c r="BY34" i="87"/>
  <c r="BX34" i="87"/>
  <c r="BW34" i="87"/>
  <c r="BV34" i="87"/>
  <c r="BU34" i="87"/>
  <c r="BT34" i="87"/>
  <c r="BS34" i="87"/>
  <c r="BR34" i="87"/>
  <c r="BP34" i="87"/>
  <c r="AI34" i="87"/>
  <c r="AH34" i="87"/>
  <c r="AG34" i="87"/>
  <c r="AF34" i="87"/>
  <c r="AE34" i="87"/>
  <c r="AD34" i="87"/>
  <c r="AC34" i="87"/>
  <c r="AB34" i="87"/>
  <c r="AA34" i="87"/>
  <c r="Z34" i="87"/>
  <c r="X34" i="87"/>
  <c r="W34" i="87"/>
  <c r="V34" i="87"/>
  <c r="DH33" i="87"/>
  <c r="DK33" i="87" s="1"/>
  <c r="DG33" i="87"/>
  <c r="DJ33" i="87" s="1"/>
  <c r="DF33" i="87"/>
  <c r="DI33" i="87" s="1"/>
  <c r="BZ33" i="87"/>
  <c r="BY33" i="87"/>
  <c r="BX33" i="87"/>
  <c r="BT33" i="87"/>
  <c r="BS33" i="87"/>
  <c r="BR33" i="87"/>
  <c r="BP33" i="87"/>
  <c r="AI33" i="87"/>
  <c r="AH33" i="87"/>
  <c r="AG33" i="87"/>
  <c r="AC33" i="87"/>
  <c r="AB33" i="87"/>
  <c r="AA33" i="87"/>
  <c r="Z33" i="87"/>
  <c r="X33" i="87"/>
  <c r="W33" i="87"/>
  <c r="V33" i="87"/>
  <c r="DH32" i="87"/>
  <c r="DK32" i="87" s="1"/>
  <c r="DG32" i="87"/>
  <c r="DJ32" i="87" s="1"/>
  <c r="DF32" i="87"/>
  <c r="DI32" i="87" s="1"/>
  <c r="BZ32" i="87"/>
  <c r="BY32" i="87"/>
  <c r="BX32" i="87"/>
  <c r="BW32" i="87"/>
  <c r="BV32" i="87"/>
  <c r="BU32" i="87"/>
  <c r="BT32" i="87"/>
  <c r="BS32" i="87"/>
  <c r="BR32" i="87"/>
  <c r="BP32" i="87"/>
  <c r="AI32" i="87"/>
  <c r="AH32" i="87"/>
  <c r="AG32" i="87"/>
  <c r="AF32" i="87"/>
  <c r="AE32" i="87"/>
  <c r="AD32" i="87"/>
  <c r="AC32" i="87"/>
  <c r="AB32" i="87"/>
  <c r="AA32" i="87"/>
  <c r="Z32" i="87"/>
  <c r="X32" i="87"/>
  <c r="W32" i="87"/>
  <c r="V32" i="87"/>
  <c r="DH31" i="87"/>
  <c r="DK31" i="87" s="1"/>
  <c r="DG31" i="87"/>
  <c r="DJ31" i="87" s="1"/>
  <c r="DF31" i="87"/>
  <c r="DI31" i="87" s="1"/>
  <c r="BZ31" i="87"/>
  <c r="BY31" i="87"/>
  <c r="BW31" i="87"/>
  <c r="BV31" i="87"/>
  <c r="BU31" i="87"/>
  <c r="BT31" i="87"/>
  <c r="BS31" i="87"/>
  <c r="BR31" i="87"/>
  <c r="BP31" i="87"/>
  <c r="AI31" i="87"/>
  <c r="AH31" i="87"/>
  <c r="AF31" i="87"/>
  <c r="AE31" i="87"/>
  <c r="AD31" i="87"/>
  <c r="AC31" i="87"/>
  <c r="AB31" i="87"/>
  <c r="AA31" i="87"/>
  <c r="Z31" i="87"/>
  <c r="X31" i="87"/>
  <c r="W31" i="87"/>
  <c r="V31" i="87"/>
  <c r="DH30" i="87"/>
  <c r="DK30" i="87" s="1"/>
  <c r="DG30" i="87"/>
  <c r="DJ30" i="87" s="1"/>
  <c r="DF30" i="87"/>
  <c r="DI30" i="87" s="1"/>
  <c r="BZ30" i="87"/>
  <c r="BY30" i="87"/>
  <c r="BX30" i="87"/>
  <c r="BV30" i="87"/>
  <c r="BU30" i="87"/>
  <c r="BT30" i="87"/>
  <c r="BS30" i="87"/>
  <c r="BR30" i="87"/>
  <c r="BP30" i="87"/>
  <c r="AI30" i="87"/>
  <c r="AH30" i="87"/>
  <c r="AG30" i="87"/>
  <c r="AE30" i="87"/>
  <c r="AD30" i="87"/>
  <c r="AC30" i="87"/>
  <c r="AB30" i="87"/>
  <c r="AA30" i="87"/>
  <c r="Z30" i="87"/>
  <c r="X30" i="87"/>
  <c r="W30" i="87"/>
  <c r="V30" i="87"/>
  <c r="DH29" i="87"/>
  <c r="DK29" i="87" s="1"/>
  <c r="DG29" i="87"/>
  <c r="DJ29" i="87" s="1"/>
  <c r="DF29" i="87"/>
  <c r="DI29" i="87" s="1"/>
  <c r="BZ29" i="87"/>
  <c r="BY29" i="87"/>
  <c r="BX29" i="87"/>
  <c r="BW29" i="87"/>
  <c r="BV29" i="87"/>
  <c r="BU29" i="87"/>
  <c r="BT29" i="87"/>
  <c r="BS29" i="87"/>
  <c r="BR29" i="87"/>
  <c r="BP29" i="87"/>
  <c r="AI29" i="87"/>
  <c r="AH29" i="87"/>
  <c r="AG29" i="87"/>
  <c r="AF29" i="87"/>
  <c r="AE29" i="87"/>
  <c r="AD29" i="87"/>
  <c r="AC29" i="87"/>
  <c r="AB29" i="87"/>
  <c r="AA29" i="87"/>
  <c r="Z29" i="87"/>
  <c r="X29" i="87"/>
  <c r="W29" i="87"/>
  <c r="V29" i="87"/>
  <c r="DH28" i="87"/>
  <c r="DK28" i="87" s="1"/>
  <c r="DG28" i="87"/>
  <c r="DJ28" i="87" s="1"/>
  <c r="DF28" i="87"/>
  <c r="DI28" i="87" s="1"/>
  <c r="BZ28" i="87"/>
  <c r="BY28" i="87"/>
  <c r="BX28" i="87"/>
  <c r="BW28" i="87"/>
  <c r="BV28" i="87"/>
  <c r="BU28" i="87"/>
  <c r="BT28" i="87"/>
  <c r="BS28" i="87"/>
  <c r="BR28" i="87"/>
  <c r="BP28" i="87"/>
  <c r="AI28" i="87"/>
  <c r="AH28" i="87"/>
  <c r="AG28" i="87"/>
  <c r="AF28" i="87"/>
  <c r="AE28" i="87"/>
  <c r="AD28" i="87"/>
  <c r="AC28" i="87"/>
  <c r="AB28" i="87"/>
  <c r="AA28" i="87"/>
  <c r="Z28" i="87"/>
  <c r="X28" i="87"/>
  <c r="W28" i="87"/>
  <c r="V28" i="87"/>
  <c r="DH27" i="87"/>
  <c r="DK27" i="87" s="1"/>
  <c r="DG27" i="87"/>
  <c r="DJ27" i="87" s="1"/>
  <c r="DF27" i="87"/>
  <c r="DI27" i="87" s="1"/>
  <c r="BZ27" i="87"/>
  <c r="BY27" i="87"/>
  <c r="BX27" i="87"/>
  <c r="BW27" i="87"/>
  <c r="BV27" i="87"/>
  <c r="BU27" i="87"/>
  <c r="BT27" i="87"/>
  <c r="BS27" i="87"/>
  <c r="BR27" i="87"/>
  <c r="BP27" i="87"/>
  <c r="AI27" i="87"/>
  <c r="AH27" i="87"/>
  <c r="AG27" i="87"/>
  <c r="AF27" i="87"/>
  <c r="AE27" i="87"/>
  <c r="AD27" i="87"/>
  <c r="AC27" i="87"/>
  <c r="AB27" i="87"/>
  <c r="AA27" i="87"/>
  <c r="Z27" i="87"/>
  <c r="X27" i="87"/>
  <c r="W27" i="87"/>
  <c r="V27" i="87"/>
  <c r="DH26" i="87"/>
  <c r="DK26" i="87" s="1"/>
  <c r="DG26" i="87"/>
  <c r="DJ26" i="87" s="1"/>
  <c r="DF26" i="87"/>
  <c r="DI26" i="87" s="1"/>
  <c r="BZ26" i="87"/>
  <c r="BY26" i="87"/>
  <c r="BW26" i="87"/>
  <c r="BT26" i="87"/>
  <c r="BS26" i="87"/>
  <c r="BR26" i="87"/>
  <c r="BP26" i="87"/>
  <c r="AI26" i="87"/>
  <c r="AH26" i="87"/>
  <c r="AF26" i="87"/>
  <c r="AC26" i="87"/>
  <c r="AB26" i="87"/>
  <c r="AA26" i="87"/>
  <c r="Z26" i="87"/>
  <c r="X26" i="87"/>
  <c r="W26" i="87"/>
  <c r="V26" i="87"/>
  <c r="DH25" i="87"/>
  <c r="DK25" i="87" s="1"/>
  <c r="DG25" i="87"/>
  <c r="DJ25" i="87" s="1"/>
  <c r="DF25" i="87"/>
  <c r="DI25" i="87" s="1"/>
  <c r="BZ25" i="87"/>
  <c r="BY25" i="87"/>
  <c r="BX25" i="87"/>
  <c r="BW25" i="87"/>
  <c r="BV25" i="87"/>
  <c r="BU25" i="87"/>
  <c r="BT25" i="87"/>
  <c r="BS25" i="87"/>
  <c r="BR25" i="87"/>
  <c r="BP25" i="87"/>
  <c r="AI25" i="87"/>
  <c r="AH25" i="87"/>
  <c r="AG25" i="87"/>
  <c r="AF25" i="87"/>
  <c r="AE25" i="87"/>
  <c r="AD25" i="87"/>
  <c r="AC25" i="87"/>
  <c r="AB25" i="87"/>
  <c r="AA25" i="87"/>
  <c r="Z25" i="87"/>
  <c r="X25" i="87"/>
  <c r="W25" i="87"/>
  <c r="V25" i="87"/>
  <c r="DH24" i="87"/>
  <c r="DK24" i="87" s="1"/>
  <c r="DG24" i="87"/>
  <c r="DJ24" i="87" s="1"/>
  <c r="DF24" i="87"/>
  <c r="DI24" i="87" s="1"/>
  <c r="BZ24" i="87"/>
  <c r="BY24" i="87"/>
  <c r="BX24" i="87"/>
  <c r="BV24" i="87"/>
  <c r="BU24" i="87"/>
  <c r="BT24" i="87"/>
  <c r="BS24" i="87"/>
  <c r="BR24" i="87"/>
  <c r="BP24" i="87"/>
  <c r="AI24" i="87"/>
  <c r="AH24" i="87"/>
  <c r="AG24" i="87"/>
  <c r="AE24" i="87"/>
  <c r="AD24" i="87"/>
  <c r="AC24" i="87"/>
  <c r="AB24" i="87"/>
  <c r="AA24" i="87"/>
  <c r="Z24" i="87"/>
  <c r="X24" i="87"/>
  <c r="W24" i="87"/>
  <c r="V24" i="87"/>
  <c r="DH23" i="87"/>
  <c r="DK23" i="87" s="1"/>
  <c r="DG23" i="87"/>
  <c r="DJ23" i="87" s="1"/>
  <c r="DF23" i="87"/>
  <c r="DI23" i="87" s="1"/>
  <c r="BZ23" i="87"/>
  <c r="BY23" i="87"/>
  <c r="BX23" i="87"/>
  <c r="BW23" i="87"/>
  <c r="BU23" i="87"/>
  <c r="BT23" i="87"/>
  <c r="BS23" i="87"/>
  <c r="BR23" i="87"/>
  <c r="BP23" i="87"/>
  <c r="AI23" i="87"/>
  <c r="AH23" i="87"/>
  <c r="AG23" i="87"/>
  <c r="AF23" i="87"/>
  <c r="AD23" i="87"/>
  <c r="AC23" i="87"/>
  <c r="AB23" i="87"/>
  <c r="AA23" i="87"/>
  <c r="Z23" i="87"/>
  <c r="X23" i="87"/>
  <c r="W23" i="87"/>
  <c r="V23" i="87"/>
  <c r="DH22" i="87"/>
  <c r="DK22" i="87" s="1"/>
  <c r="DG22" i="87"/>
  <c r="DJ22" i="87" s="1"/>
  <c r="DF22" i="87"/>
  <c r="DI22" i="87" s="1"/>
  <c r="BZ22" i="87"/>
  <c r="BY22" i="87"/>
  <c r="BX22" i="87"/>
  <c r="BW22" i="87"/>
  <c r="BV22" i="87"/>
  <c r="BU22" i="87"/>
  <c r="BT22" i="87"/>
  <c r="BS22" i="87"/>
  <c r="BR22" i="87"/>
  <c r="BP22" i="87"/>
  <c r="AI22" i="87"/>
  <c r="AH22" i="87"/>
  <c r="AG22" i="87"/>
  <c r="AF22" i="87"/>
  <c r="AE22" i="87"/>
  <c r="AD22" i="87"/>
  <c r="AC22" i="87"/>
  <c r="AB22" i="87"/>
  <c r="AA22" i="87"/>
  <c r="Z22" i="87"/>
  <c r="X22" i="87"/>
  <c r="DH21" i="87"/>
  <c r="DK21" i="87" s="1"/>
  <c r="DG21" i="87"/>
  <c r="DJ21" i="87" s="1"/>
  <c r="DF21" i="87"/>
  <c r="DI21" i="87" s="1"/>
  <c r="BZ21" i="87"/>
  <c r="BY21" i="87"/>
  <c r="BX21" i="87"/>
  <c r="BW21" i="87"/>
  <c r="BV21" i="87"/>
  <c r="BU21" i="87"/>
  <c r="BT21" i="87"/>
  <c r="BS21" i="87"/>
  <c r="BR21" i="87"/>
  <c r="BP21" i="87"/>
  <c r="AI21" i="87"/>
  <c r="AH21" i="87"/>
  <c r="AG21" i="87"/>
  <c r="AF21" i="87"/>
  <c r="AE21" i="87"/>
  <c r="AD21" i="87"/>
  <c r="AC21" i="87"/>
  <c r="AB21" i="87"/>
  <c r="AA21" i="87"/>
  <c r="Z21" i="87"/>
  <c r="X21" i="87"/>
  <c r="W21" i="87"/>
  <c r="V21" i="87"/>
  <c r="DH20" i="87"/>
  <c r="DK20" i="87" s="1"/>
  <c r="DG20" i="87"/>
  <c r="DJ20" i="87" s="1"/>
  <c r="DF20" i="87"/>
  <c r="DI20" i="87" s="1"/>
  <c r="BZ20" i="87"/>
  <c r="BY20" i="87"/>
  <c r="BX20" i="87"/>
  <c r="BW20" i="87"/>
  <c r="BV20" i="87"/>
  <c r="BU20" i="87"/>
  <c r="BT20" i="87"/>
  <c r="BS20" i="87"/>
  <c r="BR20" i="87"/>
  <c r="BP20" i="87"/>
  <c r="AI20" i="87"/>
  <c r="AH20" i="87"/>
  <c r="AG20" i="87"/>
  <c r="AF20" i="87"/>
  <c r="AE20" i="87"/>
  <c r="AD20" i="87"/>
  <c r="AC20" i="87"/>
  <c r="AB20" i="87"/>
  <c r="AA20" i="87"/>
  <c r="Z20" i="87"/>
  <c r="X20" i="87"/>
  <c r="W20" i="87"/>
  <c r="V20" i="87"/>
  <c r="DH19" i="87"/>
  <c r="DK19" i="87" s="1"/>
  <c r="DG19" i="87"/>
  <c r="DJ19" i="87" s="1"/>
  <c r="DF19" i="87"/>
  <c r="DI19" i="87" s="1"/>
  <c r="BZ19" i="87"/>
  <c r="BY19" i="87"/>
  <c r="BU19" i="87"/>
  <c r="BT19" i="87"/>
  <c r="BS19" i="87"/>
  <c r="BR19" i="87"/>
  <c r="BP19" i="87"/>
  <c r="AI19" i="87"/>
  <c r="AH19" i="87"/>
  <c r="AD19" i="87"/>
  <c r="AC19" i="87"/>
  <c r="AB19" i="87"/>
  <c r="AA19" i="87"/>
  <c r="Z19" i="87"/>
  <c r="X19" i="87"/>
  <c r="W19" i="87"/>
  <c r="V19" i="87"/>
  <c r="DH18" i="87"/>
  <c r="DK18" i="87" s="1"/>
  <c r="DG18" i="87"/>
  <c r="DJ18" i="87" s="1"/>
  <c r="DF18" i="87"/>
  <c r="DI18" i="87" s="1"/>
  <c r="BZ18" i="87"/>
  <c r="BY18" i="87"/>
  <c r="BX18" i="87"/>
  <c r="BW18" i="87"/>
  <c r="BV18" i="87"/>
  <c r="BU18" i="87"/>
  <c r="BT18" i="87"/>
  <c r="BS18" i="87"/>
  <c r="BR18" i="87"/>
  <c r="BP18" i="87"/>
  <c r="AI18" i="87"/>
  <c r="AH18" i="87"/>
  <c r="AG18" i="87"/>
  <c r="AF18" i="87"/>
  <c r="AE18" i="87"/>
  <c r="AD18" i="87"/>
  <c r="AC18" i="87"/>
  <c r="AB18" i="87"/>
  <c r="AA18" i="87"/>
  <c r="Z18" i="87"/>
  <c r="X18" i="87"/>
  <c r="W18" i="87"/>
  <c r="V18" i="87"/>
  <c r="DH17" i="87"/>
  <c r="DK17" i="87" s="1"/>
  <c r="DG17" i="87"/>
  <c r="DJ17" i="87" s="1"/>
  <c r="DF17" i="87"/>
  <c r="DI17" i="87" s="1"/>
  <c r="BZ17" i="87"/>
  <c r="BY17" i="87"/>
  <c r="BX17" i="87"/>
  <c r="BW17" i="87"/>
  <c r="BU17" i="87"/>
  <c r="BT17" i="87"/>
  <c r="BS17" i="87"/>
  <c r="BR17" i="87"/>
  <c r="BP17" i="87"/>
  <c r="AI17" i="87"/>
  <c r="AH17" i="87"/>
  <c r="AG17" i="87"/>
  <c r="AF17" i="87"/>
  <c r="AD17" i="87"/>
  <c r="AC17" i="87"/>
  <c r="AB17" i="87"/>
  <c r="AA17" i="87"/>
  <c r="Z17" i="87"/>
  <c r="X17" i="87"/>
  <c r="W17" i="87"/>
  <c r="V17" i="87"/>
  <c r="DH16" i="87"/>
  <c r="DK16" i="87" s="1"/>
  <c r="DG16" i="87"/>
  <c r="DJ16" i="87" s="1"/>
  <c r="DF16" i="87"/>
  <c r="DI16" i="87" s="1"/>
  <c r="BZ16" i="87"/>
  <c r="BY16" i="87"/>
  <c r="BX16" i="87"/>
  <c r="BW16" i="87"/>
  <c r="BV16" i="87"/>
  <c r="BT16" i="87"/>
  <c r="BS16" i="87"/>
  <c r="BR16" i="87"/>
  <c r="BP16" i="87"/>
  <c r="AI16" i="87"/>
  <c r="AH16" i="87"/>
  <c r="AG16" i="87"/>
  <c r="AF16" i="87"/>
  <c r="AE16" i="87"/>
  <c r="AC16" i="87"/>
  <c r="AB16" i="87"/>
  <c r="AA16" i="87"/>
  <c r="Z16" i="87"/>
  <c r="X16" i="87"/>
  <c r="W16" i="87"/>
  <c r="V16" i="87"/>
  <c r="DH15" i="87"/>
  <c r="DK15" i="87" s="1"/>
  <c r="DG15" i="87"/>
  <c r="DJ15" i="87" s="1"/>
  <c r="DF15" i="87"/>
  <c r="DI15" i="87" s="1"/>
  <c r="BZ15" i="87"/>
  <c r="BY15" i="87"/>
  <c r="BX15" i="87"/>
  <c r="BW15" i="87"/>
  <c r="BV15" i="87"/>
  <c r="BU15" i="87"/>
  <c r="BT15" i="87"/>
  <c r="BS15" i="87"/>
  <c r="BR15" i="87"/>
  <c r="BP15" i="87"/>
  <c r="AI15" i="87"/>
  <c r="AH15" i="87"/>
  <c r="AG15" i="87"/>
  <c r="AF15" i="87"/>
  <c r="AE15" i="87"/>
  <c r="AD15" i="87"/>
  <c r="AC15" i="87"/>
  <c r="AB15" i="87"/>
  <c r="AA15" i="87"/>
  <c r="Z15" i="87"/>
  <c r="X15" i="87"/>
  <c r="W15" i="87"/>
  <c r="V15" i="87"/>
  <c r="A15" i="87"/>
  <c r="A1" i="87"/>
  <c r="AW85" i="86"/>
  <c r="CN85" i="86" s="1"/>
  <c r="AW84" i="86"/>
  <c r="CN84" i="86" s="1"/>
  <c r="AW83" i="86"/>
  <c r="CN83" i="86" s="1"/>
  <c r="AW82" i="86"/>
  <c r="CN82" i="86" s="1"/>
  <c r="A57" i="86"/>
  <c r="A53" i="86"/>
  <c r="A52" i="86"/>
  <c r="A51" i="86"/>
  <c r="A50" i="86"/>
  <c r="A48" i="86"/>
  <c r="DK46" i="86"/>
  <c r="DJ46" i="86"/>
  <c r="U46" i="86"/>
  <c r="T46" i="86"/>
  <c r="S46" i="86"/>
  <c r="M46" i="86"/>
  <c r="DH45" i="86"/>
  <c r="DK45" i="86" s="1"/>
  <c r="DG45" i="86"/>
  <c r="DJ45" i="86" s="1"/>
  <c r="DF45" i="86"/>
  <c r="DI45" i="86" s="1"/>
  <c r="BZ45" i="86"/>
  <c r="BY45" i="86"/>
  <c r="BX45" i="86"/>
  <c r="BW45" i="86"/>
  <c r="BV45" i="86"/>
  <c r="BU45" i="86"/>
  <c r="BT45" i="86"/>
  <c r="BS45" i="86"/>
  <c r="BR45" i="86"/>
  <c r="BP45" i="86"/>
  <c r="AI45" i="86"/>
  <c r="AH45" i="86"/>
  <c r="AG45" i="86"/>
  <c r="AF45" i="86"/>
  <c r="AE45" i="86"/>
  <c r="AD45" i="86"/>
  <c r="AC45" i="86"/>
  <c r="AB45" i="86"/>
  <c r="AA45" i="86"/>
  <c r="Z45" i="86"/>
  <c r="X45" i="86"/>
  <c r="W45" i="86"/>
  <c r="V45" i="86"/>
  <c r="DH44" i="86"/>
  <c r="DK44" i="86" s="1"/>
  <c r="DG44" i="86"/>
  <c r="DJ44" i="86" s="1"/>
  <c r="DF44" i="86"/>
  <c r="DI44" i="86" s="1"/>
  <c r="BZ44" i="86"/>
  <c r="BY44" i="86"/>
  <c r="BX44" i="86"/>
  <c r="BW44" i="86"/>
  <c r="BV44" i="86"/>
  <c r="BU44" i="86"/>
  <c r="BT44" i="86"/>
  <c r="BS44" i="86"/>
  <c r="BR44" i="86"/>
  <c r="BP44" i="86"/>
  <c r="AI44" i="86"/>
  <c r="AH44" i="86"/>
  <c r="AG44" i="86"/>
  <c r="AF44" i="86"/>
  <c r="AE44" i="86"/>
  <c r="AD44" i="86"/>
  <c r="AC44" i="86"/>
  <c r="AB44" i="86"/>
  <c r="AA44" i="86"/>
  <c r="Z44" i="86"/>
  <c r="X44" i="86"/>
  <c r="W44" i="86"/>
  <c r="V44" i="86"/>
  <c r="DH43" i="86"/>
  <c r="DK43" i="86" s="1"/>
  <c r="DG43" i="86"/>
  <c r="DJ43" i="86" s="1"/>
  <c r="DF43" i="86"/>
  <c r="DI43" i="86" s="1"/>
  <c r="BZ43" i="86"/>
  <c r="BY43" i="86"/>
  <c r="BX43" i="86"/>
  <c r="BW43" i="86"/>
  <c r="BV43" i="86"/>
  <c r="BU43" i="86"/>
  <c r="BT43" i="86"/>
  <c r="BS43" i="86"/>
  <c r="BR43" i="86"/>
  <c r="BP43" i="86"/>
  <c r="AI43" i="86"/>
  <c r="AH43" i="86"/>
  <c r="AG43" i="86"/>
  <c r="AF43" i="86"/>
  <c r="AE43" i="86"/>
  <c r="AD43" i="86"/>
  <c r="AC43" i="86"/>
  <c r="AB43" i="86"/>
  <c r="AA43" i="86"/>
  <c r="Z43" i="86"/>
  <c r="X43" i="86"/>
  <c r="W43" i="86"/>
  <c r="V43" i="86"/>
  <c r="DH42" i="86"/>
  <c r="DK42" i="86" s="1"/>
  <c r="DG42" i="86"/>
  <c r="DJ42" i="86" s="1"/>
  <c r="DF42" i="86"/>
  <c r="DI42" i="86" s="1"/>
  <c r="BZ42" i="86"/>
  <c r="BY42" i="86"/>
  <c r="BX42" i="86"/>
  <c r="BW42" i="86"/>
  <c r="BV42" i="86"/>
  <c r="BU42" i="86"/>
  <c r="BT42" i="86"/>
  <c r="BS42" i="86"/>
  <c r="BR42" i="86"/>
  <c r="BP42" i="86"/>
  <c r="AI42" i="86"/>
  <c r="AH42" i="86"/>
  <c r="AG42" i="86"/>
  <c r="AF42" i="86"/>
  <c r="AE42" i="86"/>
  <c r="AD42" i="86"/>
  <c r="AC42" i="86"/>
  <c r="AB42" i="86"/>
  <c r="AA42" i="86"/>
  <c r="Z42" i="86"/>
  <c r="X42" i="86"/>
  <c r="W42" i="86"/>
  <c r="V42" i="86"/>
  <c r="DH41" i="86"/>
  <c r="DK41" i="86" s="1"/>
  <c r="DG41" i="86"/>
  <c r="DJ41" i="86" s="1"/>
  <c r="DF41" i="86"/>
  <c r="DI41" i="86" s="1"/>
  <c r="BZ41" i="86"/>
  <c r="BY41" i="86"/>
  <c r="BX41" i="86"/>
  <c r="BW41" i="86"/>
  <c r="BV41" i="86"/>
  <c r="BU41" i="86"/>
  <c r="BT41" i="86"/>
  <c r="BS41" i="86"/>
  <c r="BR41" i="86"/>
  <c r="BP41" i="86"/>
  <c r="AI41" i="86"/>
  <c r="AH41" i="86"/>
  <c r="AG41" i="86"/>
  <c r="AF41" i="86"/>
  <c r="AE41" i="86"/>
  <c r="AD41" i="86"/>
  <c r="AC41" i="86"/>
  <c r="AB41" i="86"/>
  <c r="AA41" i="86"/>
  <c r="Z41" i="86"/>
  <c r="X41" i="86"/>
  <c r="W41" i="86"/>
  <c r="V41" i="86"/>
  <c r="DH40" i="86"/>
  <c r="DK40" i="86" s="1"/>
  <c r="DG40" i="86"/>
  <c r="DJ40" i="86" s="1"/>
  <c r="DF40" i="86"/>
  <c r="DI40" i="86" s="1"/>
  <c r="BZ40" i="86"/>
  <c r="BY40" i="86"/>
  <c r="BX40" i="86"/>
  <c r="BW40" i="86"/>
  <c r="BV40" i="86"/>
  <c r="BU40" i="86"/>
  <c r="BT40" i="86"/>
  <c r="BS40" i="86"/>
  <c r="BR40" i="86"/>
  <c r="BP40" i="86"/>
  <c r="AI40" i="86"/>
  <c r="AH40" i="86"/>
  <c r="AG40" i="86"/>
  <c r="AF40" i="86"/>
  <c r="AE40" i="86"/>
  <c r="AD40" i="86"/>
  <c r="AC40" i="86"/>
  <c r="AB40" i="86"/>
  <c r="AA40" i="86"/>
  <c r="Z40" i="86"/>
  <c r="X40" i="86"/>
  <c r="W40" i="86"/>
  <c r="V40" i="86"/>
  <c r="DH39" i="86"/>
  <c r="DK39" i="86" s="1"/>
  <c r="DG39" i="86"/>
  <c r="DJ39" i="86" s="1"/>
  <c r="DF39" i="86"/>
  <c r="DI39" i="86" s="1"/>
  <c r="BZ39" i="86"/>
  <c r="BY39" i="86"/>
  <c r="BX39" i="86"/>
  <c r="BW39" i="86"/>
  <c r="BV39" i="86"/>
  <c r="BU39" i="86"/>
  <c r="BT39" i="86"/>
  <c r="BS39" i="86"/>
  <c r="BR39" i="86"/>
  <c r="BP39" i="86"/>
  <c r="AI39" i="86"/>
  <c r="AH39" i="86"/>
  <c r="AG39" i="86"/>
  <c r="AF39" i="86"/>
  <c r="AE39" i="86"/>
  <c r="AD39" i="86"/>
  <c r="AC39" i="86"/>
  <c r="AB39" i="86"/>
  <c r="AA39" i="86"/>
  <c r="Z39" i="86"/>
  <c r="X39" i="86"/>
  <c r="W39" i="86"/>
  <c r="V39" i="86"/>
  <c r="DH38" i="86"/>
  <c r="DK38" i="86" s="1"/>
  <c r="DG38" i="86"/>
  <c r="DJ38" i="86" s="1"/>
  <c r="DF38" i="86"/>
  <c r="DI38" i="86" s="1"/>
  <c r="BZ38" i="86"/>
  <c r="BY38" i="86"/>
  <c r="BX38" i="86"/>
  <c r="BW38" i="86"/>
  <c r="BV38" i="86"/>
  <c r="BU38" i="86"/>
  <c r="BT38" i="86"/>
  <c r="BS38" i="86"/>
  <c r="BR38" i="86"/>
  <c r="BP38" i="86"/>
  <c r="AI38" i="86"/>
  <c r="AH38" i="86"/>
  <c r="AG38" i="86"/>
  <c r="AF38" i="86"/>
  <c r="AE38" i="86"/>
  <c r="AD38" i="86"/>
  <c r="AC38" i="86"/>
  <c r="AB38" i="86"/>
  <c r="AA38" i="86"/>
  <c r="Z38" i="86"/>
  <c r="X38" i="86"/>
  <c r="W38" i="86"/>
  <c r="V38" i="86"/>
  <c r="DH37" i="86"/>
  <c r="DK37" i="86" s="1"/>
  <c r="DG37" i="86"/>
  <c r="DJ37" i="86" s="1"/>
  <c r="DF37" i="86"/>
  <c r="DI37" i="86" s="1"/>
  <c r="BZ37" i="86"/>
  <c r="BY37" i="86"/>
  <c r="BX37" i="86"/>
  <c r="BW37" i="86"/>
  <c r="BV37" i="86"/>
  <c r="BU37" i="86"/>
  <c r="BT37" i="86"/>
  <c r="BS37" i="86"/>
  <c r="BR37" i="86"/>
  <c r="BP37" i="86"/>
  <c r="AI37" i="86"/>
  <c r="AH37" i="86"/>
  <c r="AG37" i="86"/>
  <c r="AF37" i="86"/>
  <c r="AE37" i="86"/>
  <c r="AD37" i="86"/>
  <c r="AC37" i="86"/>
  <c r="AB37" i="86"/>
  <c r="AA37" i="86"/>
  <c r="Z37" i="86"/>
  <c r="X37" i="86"/>
  <c r="W37" i="86"/>
  <c r="V37" i="86"/>
  <c r="DH36" i="86"/>
  <c r="DK36" i="86" s="1"/>
  <c r="DG36" i="86"/>
  <c r="DJ36" i="86" s="1"/>
  <c r="DF36" i="86"/>
  <c r="DI36" i="86" s="1"/>
  <c r="BZ36" i="86"/>
  <c r="BY36" i="86"/>
  <c r="BX36" i="86"/>
  <c r="BW36" i="86"/>
  <c r="BV36" i="86"/>
  <c r="BT36" i="86"/>
  <c r="BS36" i="86"/>
  <c r="BR36" i="86"/>
  <c r="BP36" i="86"/>
  <c r="AI36" i="86"/>
  <c r="AH36" i="86"/>
  <c r="AG36" i="86"/>
  <c r="AF36" i="86"/>
  <c r="AE36" i="86"/>
  <c r="AC36" i="86"/>
  <c r="AB36" i="86"/>
  <c r="AA36" i="86"/>
  <c r="Z36" i="86"/>
  <c r="X36" i="86"/>
  <c r="W36" i="86"/>
  <c r="V36" i="86"/>
  <c r="DH35" i="86"/>
  <c r="DK35" i="86" s="1"/>
  <c r="DG35" i="86"/>
  <c r="DJ35" i="86" s="1"/>
  <c r="DF35" i="86"/>
  <c r="DI35" i="86" s="1"/>
  <c r="BZ35" i="86"/>
  <c r="BY35" i="86"/>
  <c r="BX35" i="86"/>
  <c r="BW35" i="86"/>
  <c r="BV35" i="86"/>
  <c r="BU35" i="86"/>
  <c r="BT35" i="86"/>
  <c r="BS35" i="86"/>
  <c r="BR35" i="86"/>
  <c r="BP35" i="86"/>
  <c r="AI35" i="86"/>
  <c r="AH35" i="86"/>
  <c r="AG35" i="86"/>
  <c r="AF35" i="86"/>
  <c r="AE35" i="86"/>
  <c r="AD35" i="86"/>
  <c r="AC35" i="86"/>
  <c r="AB35" i="86"/>
  <c r="AA35" i="86"/>
  <c r="Z35" i="86"/>
  <c r="X35" i="86"/>
  <c r="W35" i="86"/>
  <c r="V35" i="86"/>
  <c r="DH34" i="86"/>
  <c r="DK34" i="86" s="1"/>
  <c r="DG34" i="86"/>
  <c r="DJ34" i="86" s="1"/>
  <c r="DF34" i="86"/>
  <c r="DI34" i="86" s="1"/>
  <c r="BZ34" i="86"/>
  <c r="BY34" i="86"/>
  <c r="BW34" i="86"/>
  <c r="BV34" i="86"/>
  <c r="BU34" i="86"/>
  <c r="BT34" i="86"/>
  <c r="BS34" i="86"/>
  <c r="BR34" i="86"/>
  <c r="BP34" i="86"/>
  <c r="AI34" i="86"/>
  <c r="AH34" i="86"/>
  <c r="AF34" i="86"/>
  <c r="AE34" i="86"/>
  <c r="AD34" i="86"/>
  <c r="AC34" i="86"/>
  <c r="AB34" i="86"/>
  <c r="AA34" i="86"/>
  <c r="Z34" i="86"/>
  <c r="X34" i="86"/>
  <c r="W34" i="86"/>
  <c r="V34" i="86"/>
  <c r="DH33" i="86"/>
  <c r="DK33" i="86" s="1"/>
  <c r="DG33" i="86"/>
  <c r="DJ33" i="86" s="1"/>
  <c r="DF33" i="86"/>
  <c r="DI33" i="86" s="1"/>
  <c r="BZ33" i="86"/>
  <c r="BY33" i="86"/>
  <c r="BW33" i="86"/>
  <c r="BV33" i="86"/>
  <c r="BU33" i="86"/>
  <c r="BT33" i="86"/>
  <c r="BS33" i="86"/>
  <c r="BR33" i="86"/>
  <c r="BP33" i="86"/>
  <c r="AI33" i="86"/>
  <c r="AH33" i="86"/>
  <c r="AF33" i="86"/>
  <c r="AE33" i="86"/>
  <c r="AD33" i="86"/>
  <c r="AC33" i="86"/>
  <c r="AB33" i="86"/>
  <c r="AA33" i="86"/>
  <c r="Z33" i="86"/>
  <c r="X33" i="86"/>
  <c r="W33" i="86"/>
  <c r="V33" i="86"/>
  <c r="DH32" i="86"/>
  <c r="DK32" i="86" s="1"/>
  <c r="DG32" i="86"/>
  <c r="DJ32" i="86" s="1"/>
  <c r="DF32" i="86"/>
  <c r="DI32" i="86" s="1"/>
  <c r="BZ32" i="86"/>
  <c r="BY32" i="86"/>
  <c r="BX32" i="86"/>
  <c r="BW32" i="86"/>
  <c r="BV32" i="86"/>
  <c r="BU32" i="86"/>
  <c r="BT32" i="86"/>
  <c r="BS32" i="86"/>
  <c r="BR32" i="86"/>
  <c r="BP32" i="86"/>
  <c r="AI32" i="86"/>
  <c r="AH32" i="86"/>
  <c r="AG32" i="86"/>
  <c r="AF32" i="86"/>
  <c r="AE32" i="86"/>
  <c r="AD32" i="86"/>
  <c r="AC32" i="86"/>
  <c r="AB32" i="86"/>
  <c r="AA32" i="86"/>
  <c r="Z32" i="86"/>
  <c r="X32" i="86"/>
  <c r="W32" i="86"/>
  <c r="V32" i="86"/>
  <c r="DH31" i="86"/>
  <c r="DK31" i="86" s="1"/>
  <c r="DG31" i="86"/>
  <c r="DJ31" i="86" s="1"/>
  <c r="DF31" i="86"/>
  <c r="DI31" i="86" s="1"/>
  <c r="BZ31" i="86"/>
  <c r="BY31" i="86"/>
  <c r="BX31" i="86"/>
  <c r="BW31" i="86"/>
  <c r="BV31" i="86"/>
  <c r="BU31" i="86"/>
  <c r="BT31" i="86"/>
  <c r="BS31" i="86"/>
  <c r="BR31" i="86"/>
  <c r="BP31" i="86"/>
  <c r="AI31" i="86"/>
  <c r="AH31" i="86"/>
  <c r="AG31" i="86"/>
  <c r="AF31" i="86"/>
  <c r="AE31" i="86"/>
  <c r="AD31" i="86"/>
  <c r="AC31" i="86"/>
  <c r="AB31" i="86"/>
  <c r="AA31" i="86"/>
  <c r="Z31" i="86"/>
  <c r="X31" i="86"/>
  <c r="W31" i="86"/>
  <c r="V31" i="86"/>
  <c r="DH30" i="86"/>
  <c r="DK30" i="86" s="1"/>
  <c r="DG30" i="86"/>
  <c r="DJ30" i="86" s="1"/>
  <c r="DF30" i="86"/>
  <c r="DI30" i="86" s="1"/>
  <c r="BZ30" i="86"/>
  <c r="BY30" i="86"/>
  <c r="BX30" i="86"/>
  <c r="BW30" i="86"/>
  <c r="BV30" i="86"/>
  <c r="BU30" i="86"/>
  <c r="BT30" i="86"/>
  <c r="BS30" i="86"/>
  <c r="BR30" i="86"/>
  <c r="BP30" i="86"/>
  <c r="AI30" i="86"/>
  <c r="AH30" i="86"/>
  <c r="AG30" i="86"/>
  <c r="AF30" i="86"/>
  <c r="AE30" i="86"/>
  <c r="AD30" i="86"/>
  <c r="AC30" i="86"/>
  <c r="AB30" i="86"/>
  <c r="AA30" i="86"/>
  <c r="Z30" i="86"/>
  <c r="X30" i="86"/>
  <c r="W30" i="86"/>
  <c r="V30" i="86"/>
  <c r="DH29" i="86"/>
  <c r="DK29" i="86" s="1"/>
  <c r="DG29" i="86"/>
  <c r="DJ29" i="86" s="1"/>
  <c r="DF29" i="86"/>
  <c r="DI29" i="86" s="1"/>
  <c r="BZ29" i="86"/>
  <c r="BY29" i="86"/>
  <c r="BT29" i="86"/>
  <c r="BS29" i="86"/>
  <c r="BR29" i="86"/>
  <c r="BP29" i="86"/>
  <c r="AI29" i="86"/>
  <c r="AH29" i="86"/>
  <c r="AC29" i="86"/>
  <c r="AB29" i="86"/>
  <c r="AA29" i="86"/>
  <c r="Z29" i="86"/>
  <c r="X29" i="86"/>
  <c r="W29" i="86"/>
  <c r="V29" i="86"/>
  <c r="DH28" i="86"/>
  <c r="DK28" i="86" s="1"/>
  <c r="DG28" i="86"/>
  <c r="DJ28" i="86" s="1"/>
  <c r="DF28" i="86"/>
  <c r="DI28" i="86" s="1"/>
  <c r="BZ28" i="86"/>
  <c r="BY28" i="86"/>
  <c r="BX28" i="86"/>
  <c r="BW28" i="86"/>
  <c r="BV28" i="86"/>
  <c r="BU28" i="86"/>
  <c r="BT28" i="86"/>
  <c r="BS28" i="86"/>
  <c r="BR28" i="86"/>
  <c r="BP28" i="86"/>
  <c r="AI28" i="86"/>
  <c r="AH28" i="86"/>
  <c r="AG28" i="86"/>
  <c r="AF28" i="86"/>
  <c r="AE28" i="86"/>
  <c r="AD28" i="86"/>
  <c r="AC28" i="86"/>
  <c r="AB28" i="86"/>
  <c r="AA28" i="86"/>
  <c r="Z28" i="86"/>
  <c r="X28" i="86"/>
  <c r="W28" i="86"/>
  <c r="V28" i="86"/>
  <c r="DH27" i="86"/>
  <c r="DK27" i="86" s="1"/>
  <c r="DG27" i="86"/>
  <c r="DJ27" i="86" s="1"/>
  <c r="DF27" i="86"/>
  <c r="DI27" i="86" s="1"/>
  <c r="BZ27" i="86"/>
  <c r="BY27" i="86"/>
  <c r="BX27" i="86"/>
  <c r="BV27" i="86"/>
  <c r="BU27" i="86"/>
  <c r="BT27" i="86"/>
  <c r="BS27" i="86"/>
  <c r="BR27" i="86"/>
  <c r="BP27" i="86"/>
  <c r="AI27" i="86"/>
  <c r="AH27" i="86"/>
  <c r="AG27" i="86"/>
  <c r="AE27" i="86"/>
  <c r="AD27" i="86"/>
  <c r="AC27" i="86"/>
  <c r="AB27" i="86"/>
  <c r="AA27" i="86"/>
  <c r="Z27" i="86"/>
  <c r="X27" i="86"/>
  <c r="W27" i="86"/>
  <c r="V27" i="86"/>
  <c r="DH26" i="86"/>
  <c r="DK26" i="86" s="1"/>
  <c r="DG26" i="86"/>
  <c r="DJ26" i="86" s="1"/>
  <c r="DF26" i="86"/>
  <c r="DI26" i="86" s="1"/>
  <c r="BZ26" i="86"/>
  <c r="BY26" i="86"/>
  <c r="BX26" i="86"/>
  <c r="BV26" i="86"/>
  <c r="BU26" i="86"/>
  <c r="BT26" i="86"/>
  <c r="BS26" i="86"/>
  <c r="BR26" i="86"/>
  <c r="BP26" i="86"/>
  <c r="AI26" i="86"/>
  <c r="AH26" i="86"/>
  <c r="AG26" i="86"/>
  <c r="AE26" i="86"/>
  <c r="AD26" i="86"/>
  <c r="AC26" i="86"/>
  <c r="AB26" i="86"/>
  <c r="AA26" i="86"/>
  <c r="Z26" i="86"/>
  <c r="X26" i="86"/>
  <c r="W26" i="86"/>
  <c r="V26" i="86"/>
  <c r="DH25" i="86"/>
  <c r="DK25" i="86" s="1"/>
  <c r="DG25" i="86"/>
  <c r="DJ25" i="86" s="1"/>
  <c r="DF25" i="86"/>
  <c r="DI25" i="86" s="1"/>
  <c r="BZ25" i="86"/>
  <c r="BY25" i="86"/>
  <c r="BX25" i="86"/>
  <c r="BW25" i="86"/>
  <c r="BV25" i="86"/>
  <c r="BU25" i="86"/>
  <c r="BT25" i="86"/>
  <c r="BS25" i="86"/>
  <c r="BR25" i="86"/>
  <c r="BP25" i="86"/>
  <c r="AI25" i="86"/>
  <c r="AH25" i="86"/>
  <c r="AG25" i="86"/>
  <c r="AF25" i="86"/>
  <c r="AE25" i="86"/>
  <c r="AD25" i="86"/>
  <c r="AC25" i="86"/>
  <c r="AB25" i="86"/>
  <c r="AA25" i="86"/>
  <c r="Z25" i="86"/>
  <c r="X25" i="86"/>
  <c r="W25" i="86"/>
  <c r="V25" i="86"/>
  <c r="DH24" i="86"/>
  <c r="DK24" i="86" s="1"/>
  <c r="DG24" i="86"/>
  <c r="DJ24" i="86" s="1"/>
  <c r="DF24" i="86"/>
  <c r="DI24" i="86" s="1"/>
  <c r="BZ24" i="86"/>
  <c r="BY24" i="86"/>
  <c r="BX24" i="86"/>
  <c r="BW24" i="86"/>
  <c r="BV24" i="86"/>
  <c r="BU24" i="86"/>
  <c r="BT24" i="86"/>
  <c r="BS24" i="86"/>
  <c r="BR24" i="86"/>
  <c r="BP24" i="86"/>
  <c r="AI24" i="86"/>
  <c r="AH24" i="86"/>
  <c r="AG24" i="86"/>
  <c r="AF24" i="86"/>
  <c r="AE24" i="86"/>
  <c r="AD24" i="86"/>
  <c r="AC24" i="86"/>
  <c r="AB24" i="86"/>
  <c r="AA24" i="86"/>
  <c r="Z24" i="86"/>
  <c r="X24" i="86"/>
  <c r="W24" i="86"/>
  <c r="V24" i="86"/>
  <c r="DH23" i="86"/>
  <c r="DK23" i="86" s="1"/>
  <c r="DG23" i="86"/>
  <c r="DJ23" i="86" s="1"/>
  <c r="DF23" i="86"/>
  <c r="DI23" i="86" s="1"/>
  <c r="BZ23" i="86"/>
  <c r="BY23" i="86"/>
  <c r="BX23" i="86"/>
  <c r="BW23" i="86"/>
  <c r="BV23" i="86"/>
  <c r="BU23" i="86"/>
  <c r="BT23" i="86"/>
  <c r="BS23" i="86"/>
  <c r="BR23" i="86"/>
  <c r="BP23" i="86"/>
  <c r="AI23" i="86"/>
  <c r="AH23" i="86"/>
  <c r="AG23" i="86"/>
  <c r="AF23" i="86"/>
  <c r="AE23" i="86"/>
  <c r="AD23" i="86"/>
  <c r="AC23" i="86"/>
  <c r="AB23" i="86"/>
  <c r="AA23" i="86"/>
  <c r="Z23" i="86"/>
  <c r="X23" i="86"/>
  <c r="W23" i="86"/>
  <c r="V23" i="86"/>
  <c r="DH22" i="86"/>
  <c r="DK22" i="86" s="1"/>
  <c r="DG22" i="86"/>
  <c r="DJ22" i="86" s="1"/>
  <c r="DF22" i="86"/>
  <c r="DI22" i="86" s="1"/>
  <c r="BZ22" i="86"/>
  <c r="BY22" i="86"/>
  <c r="BX22" i="86"/>
  <c r="BT22" i="86"/>
  <c r="BS22" i="86"/>
  <c r="BR22" i="86"/>
  <c r="BP22" i="86"/>
  <c r="AI22" i="86"/>
  <c r="AH22" i="86"/>
  <c r="AG22" i="86"/>
  <c r="AC22" i="86"/>
  <c r="AB22" i="86"/>
  <c r="AA22" i="86"/>
  <c r="Z22" i="86"/>
  <c r="X22" i="86"/>
  <c r="DH21" i="86"/>
  <c r="DK21" i="86" s="1"/>
  <c r="DG21" i="86"/>
  <c r="DJ21" i="86" s="1"/>
  <c r="DF21" i="86"/>
  <c r="DI21" i="86" s="1"/>
  <c r="BZ21" i="86"/>
  <c r="BY21" i="86"/>
  <c r="BX21" i="86"/>
  <c r="BW21" i="86"/>
  <c r="BV21" i="86"/>
  <c r="BU21" i="86"/>
  <c r="BT21" i="86"/>
  <c r="BS21" i="86"/>
  <c r="BR21" i="86"/>
  <c r="BP21" i="86"/>
  <c r="AI21" i="86"/>
  <c r="AH21" i="86"/>
  <c r="AG21" i="86"/>
  <c r="AF21" i="86"/>
  <c r="AE21" i="86"/>
  <c r="AD21" i="86"/>
  <c r="AC21" i="86"/>
  <c r="AB21" i="86"/>
  <c r="AA21" i="86"/>
  <c r="Z21" i="86"/>
  <c r="X21" i="86"/>
  <c r="W21" i="86"/>
  <c r="V21" i="86"/>
  <c r="DH20" i="86"/>
  <c r="DK20" i="86" s="1"/>
  <c r="DG20" i="86"/>
  <c r="DJ20" i="86" s="1"/>
  <c r="DF20" i="86"/>
  <c r="DI20" i="86" s="1"/>
  <c r="BZ20" i="86"/>
  <c r="BY20" i="86"/>
  <c r="BX20" i="86"/>
  <c r="BW20" i="86"/>
  <c r="BU20" i="86"/>
  <c r="BT20" i="86"/>
  <c r="BS20" i="86"/>
  <c r="BR20" i="86"/>
  <c r="BP20" i="86"/>
  <c r="AI20" i="86"/>
  <c r="AH20" i="86"/>
  <c r="AG20" i="86"/>
  <c r="AF20" i="86"/>
  <c r="AD20" i="86"/>
  <c r="AC20" i="86"/>
  <c r="AB20" i="86"/>
  <c r="AA20" i="86"/>
  <c r="Z20" i="86"/>
  <c r="X20" i="86"/>
  <c r="W20" i="86"/>
  <c r="V20" i="86"/>
  <c r="DH19" i="86"/>
  <c r="DK19" i="86" s="1"/>
  <c r="DG19" i="86"/>
  <c r="DJ19" i="86" s="1"/>
  <c r="DF19" i="86"/>
  <c r="DI19" i="86" s="1"/>
  <c r="BZ19" i="86"/>
  <c r="BY19" i="86"/>
  <c r="BX19" i="86"/>
  <c r="BW19" i="86"/>
  <c r="BU19" i="86"/>
  <c r="BT19" i="86"/>
  <c r="BS19" i="86"/>
  <c r="BR19" i="86"/>
  <c r="BP19" i="86"/>
  <c r="AI19" i="86"/>
  <c r="AH19" i="86"/>
  <c r="AG19" i="86"/>
  <c r="AF19" i="86"/>
  <c r="AD19" i="86"/>
  <c r="AC19" i="86"/>
  <c r="AB19" i="86"/>
  <c r="AA19" i="86"/>
  <c r="Z19" i="86"/>
  <c r="X19" i="86"/>
  <c r="W19" i="86"/>
  <c r="V19" i="86"/>
  <c r="DH18" i="86"/>
  <c r="DK18" i="86" s="1"/>
  <c r="DG18" i="86"/>
  <c r="DJ18" i="86" s="1"/>
  <c r="DF18" i="86"/>
  <c r="DI18" i="86" s="1"/>
  <c r="BZ18" i="86"/>
  <c r="BY18" i="86"/>
  <c r="BX18" i="86"/>
  <c r="BW18" i="86"/>
  <c r="BV18" i="86"/>
  <c r="BU18" i="86"/>
  <c r="BT18" i="86"/>
  <c r="BS18" i="86"/>
  <c r="BR18" i="86"/>
  <c r="BP18" i="86"/>
  <c r="AI18" i="86"/>
  <c r="AH18" i="86"/>
  <c r="AG18" i="86"/>
  <c r="AF18" i="86"/>
  <c r="AE18" i="86"/>
  <c r="AD18" i="86"/>
  <c r="AC18" i="86"/>
  <c r="AB18" i="86"/>
  <c r="AA18" i="86"/>
  <c r="Z18" i="86"/>
  <c r="X18" i="86"/>
  <c r="W18" i="86"/>
  <c r="V18" i="86"/>
  <c r="DH17" i="86"/>
  <c r="DK17" i="86" s="1"/>
  <c r="DG17" i="86"/>
  <c r="DJ17" i="86" s="1"/>
  <c r="DF17" i="86"/>
  <c r="DI17" i="86" s="1"/>
  <c r="BZ17" i="86"/>
  <c r="BY17" i="86"/>
  <c r="BX17" i="86"/>
  <c r="BW17" i="86"/>
  <c r="BV17" i="86"/>
  <c r="BU17" i="86"/>
  <c r="BT17" i="86"/>
  <c r="BS17" i="86"/>
  <c r="BR17" i="86"/>
  <c r="BP17" i="86"/>
  <c r="AI17" i="86"/>
  <c r="AH17" i="86"/>
  <c r="AG17" i="86"/>
  <c r="AF17" i="86"/>
  <c r="AE17" i="86"/>
  <c r="AD17" i="86"/>
  <c r="AC17" i="86"/>
  <c r="AB17" i="86"/>
  <c r="AA17" i="86"/>
  <c r="Z17" i="86"/>
  <c r="X17" i="86"/>
  <c r="W17" i="86"/>
  <c r="V17" i="86"/>
  <c r="DH16" i="86"/>
  <c r="DK16" i="86" s="1"/>
  <c r="DG16" i="86"/>
  <c r="DJ16" i="86" s="1"/>
  <c r="DF16" i="86"/>
  <c r="DI16" i="86" s="1"/>
  <c r="BZ16" i="86"/>
  <c r="BY16" i="86"/>
  <c r="BX16" i="86"/>
  <c r="BW16" i="86"/>
  <c r="BV16" i="86"/>
  <c r="BU16" i="86"/>
  <c r="BT16" i="86"/>
  <c r="BS16" i="86"/>
  <c r="BR16" i="86"/>
  <c r="BP16" i="86"/>
  <c r="AI16" i="86"/>
  <c r="AH16" i="86"/>
  <c r="AG16" i="86"/>
  <c r="AF16" i="86"/>
  <c r="AE16" i="86"/>
  <c r="AD16" i="86"/>
  <c r="AC16" i="86"/>
  <c r="AB16" i="86"/>
  <c r="AA16" i="86"/>
  <c r="Z16" i="86"/>
  <c r="X16" i="86"/>
  <c r="W16" i="86"/>
  <c r="V16" i="86"/>
  <c r="DH15" i="86"/>
  <c r="DK15" i="86" s="1"/>
  <c r="DG15" i="86"/>
  <c r="DJ15" i="86" s="1"/>
  <c r="DF15" i="86"/>
  <c r="DI15" i="86" s="1"/>
  <c r="BZ15" i="86"/>
  <c r="BY15" i="86"/>
  <c r="BW15" i="86"/>
  <c r="BT15" i="86"/>
  <c r="BS15" i="86"/>
  <c r="BR15" i="86"/>
  <c r="BP15" i="86"/>
  <c r="AI15" i="86"/>
  <c r="AH15" i="86"/>
  <c r="AF15" i="86"/>
  <c r="AC15" i="86"/>
  <c r="AB15" i="86"/>
  <c r="AA15" i="86"/>
  <c r="Z15" i="86"/>
  <c r="X15" i="86"/>
  <c r="W15" i="86"/>
  <c r="V15" i="86"/>
  <c r="A15" i="86"/>
  <c r="A11" i="86"/>
  <c r="A1" i="86"/>
  <c r="AW84" i="85"/>
  <c r="CN84" i="85" s="1"/>
  <c r="AW83" i="85"/>
  <c r="CN83" i="85" s="1"/>
  <c r="AW82" i="85"/>
  <c r="CN82" i="85" s="1"/>
  <c r="AW81" i="85"/>
  <c r="CN81" i="85" s="1"/>
  <c r="A56" i="85"/>
  <c r="A52" i="85"/>
  <c r="A51" i="85"/>
  <c r="A50" i="85"/>
  <c r="A49" i="85"/>
  <c r="A47" i="85"/>
  <c r="DK45" i="85"/>
  <c r="DJ45" i="85"/>
  <c r="U45" i="85"/>
  <c r="T45" i="85"/>
  <c r="DH44" i="85"/>
  <c r="DK44" i="85" s="1"/>
  <c r="DG44" i="85"/>
  <c r="DJ44" i="85" s="1"/>
  <c r="DF44" i="85"/>
  <c r="DI44" i="85" s="1"/>
  <c r="BZ44" i="85"/>
  <c r="BY44" i="85"/>
  <c r="BX44" i="85"/>
  <c r="BW44" i="85"/>
  <c r="BV44" i="85"/>
  <c r="BU44" i="85"/>
  <c r="BT44" i="85"/>
  <c r="BS44" i="85"/>
  <c r="BR44" i="85"/>
  <c r="BP44" i="85"/>
  <c r="AI44" i="85"/>
  <c r="AH44" i="85"/>
  <c r="AG44" i="85"/>
  <c r="AF44" i="85"/>
  <c r="AE44" i="85"/>
  <c r="AD44" i="85"/>
  <c r="AC44" i="85"/>
  <c r="AB44" i="85"/>
  <c r="AA44" i="85"/>
  <c r="Z44" i="85"/>
  <c r="X44" i="85"/>
  <c r="W44" i="85"/>
  <c r="V44" i="85"/>
  <c r="DH43" i="85"/>
  <c r="DK43" i="85" s="1"/>
  <c r="DG43" i="85"/>
  <c r="DJ43" i="85" s="1"/>
  <c r="DF43" i="85"/>
  <c r="DI43" i="85" s="1"/>
  <c r="BZ43" i="85"/>
  <c r="BY43" i="85"/>
  <c r="BX43" i="85"/>
  <c r="BW43" i="85"/>
  <c r="BV43" i="85"/>
  <c r="BT43" i="85"/>
  <c r="BS43" i="85"/>
  <c r="BR43" i="85"/>
  <c r="BP43" i="85"/>
  <c r="AI43" i="85"/>
  <c r="AH43" i="85"/>
  <c r="AG43" i="85"/>
  <c r="AF43" i="85"/>
  <c r="AE43" i="85"/>
  <c r="AC43" i="85"/>
  <c r="AB43" i="85"/>
  <c r="AA43" i="85"/>
  <c r="Z43" i="85"/>
  <c r="X43" i="85"/>
  <c r="W43" i="85"/>
  <c r="V43" i="85"/>
  <c r="DH42" i="85"/>
  <c r="DK42" i="85" s="1"/>
  <c r="DG42" i="85"/>
  <c r="DJ42" i="85" s="1"/>
  <c r="DF42" i="85"/>
  <c r="DI42" i="85" s="1"/>
  <c r="BZ42" i="85"/>
  <c r="BY42" i="85"/>
  <c r="BX42" i="85"/>
  <c r="BW42" i="85"/>
  <c r="BV42" i="85"/>
  <c r="BT42" i="85"/>
  <c r="BS42" i="85"/>
  <c r="BR42" i="85"/>
  <c r="BP42" i="85"/>
  <c r="AI42" i="85"/>
  <c r="AH42" i="85"/>
  <c r="AG42" i="85"/>
  <c r="AF42" i="85"/>
  <c r="AE42" i="85"/>
  <c r="AC42" i="85"/>
  <c r="AB42" i="85"/>
  <c r="AA42" i="85"/>
  <c r="Z42" i="85"/>
  <c r="X42" i="85"/>
  <c r="W42" i="85"/>
  <c r="V42" i="85"/>
  <c r="DH41" i="85"/>
  <c r="DK41" i="85" s="1"/>
  <c r="DG41" i="85"/>
  <c r="DJ41" i="85" s="1"/>
  <c r="DF41" i="85"/>
  <c r="DI41" i="85" s="1"/>
  <c r="BZ41" i="85"/>
  <c r="BY41" i="85"/>
  <c r="BX41" i="85"/>
  <c r="BW41" i="85"/>
  <c r="BV41" i="85"/>
  <c r="BU41" i="85"/>
  <c r="BT41" i="85"/>
  <c r="BS41" i="85"/>
  <c r="BR41" i="85"/>
  <c r="BP41" i="85"/>
  <c r="AI41" i="85"/>
  <c r="AH41" i="85"/>
  <c r="AG41" i="85"/>
  <c r="AF41" i="85"/>
  <c r="AE41" i="85"/>
  <c r="AD41" i="85"/>
  <c r="AC41" i="85"/>
  <c r="AB41" i="85"/>
  <c r="AA41" i="85"/>
  <c r="Z41" i="85"/>
  <c r="X41" i="85"/>
  <c r="W41" i="85"/>
  <c r="V41" i="85"/>
  <c r="DH40" i="85"/>
  <c r="DK40" i="85" s="1"/>
  <c r="DG40" i="85"/>
  <c r="DJ40" i="85" s="1"/>
  <c r="DF40" i="85"/>
  <c r="DI40" i="85" s="1"/>
  <c r="BZ40" i="85"/>
  <c r="BY40" i="85"/>
  <c r="BX40" i="85"/>
  <c r="BW40" i="85"/>
  <c r="BV40" i="85"/>
  <c r="BU40" i="85"/>
  <c r="BT40" i="85"/>
  <c r="BS40" i="85"/>
  <c r="BR40" i="85"/>
  <c r="BP40" i="85"/>
  <c r="AI40" i="85"/>
  <c r="AH40" i="85"/>
  <c r="AG40" i="85"/>
  <c r="AF40" i="85"/>
  <c r="AE40" i="85"/>
  <c r="AD40" i="85"/>
  <c r="AC40" i="85"/>
  <c r="AB40" i="85"/>
  <c r="AA40" i="85"/>
  <c r="Z40" i="85"/>
  <c r="X40" i="85"/>
  <c r="W40" i="85"/>
  <c r="V40" i="85"/>
  <c r="DH39" i="85"/>
  <c r="DK39" i="85" s="1"/>
  <c r="DG39" i="85"/>
  <c r="DJ39" i="85" s="1"/>
  <c r="DF39" i="85"/>
  <c r="DI39" i="85" s="1"/>
  <c r="BZ39" i="85"/>
  <c r="BY39" i="85"/>
  <c r="BX39" i="85"/>
  <c r="BW39" i="85"/>
  <c r="BV39" i="85"/>
  <c r="BU39" i="85"/>
  <c r="BT39" i="85"/>
  <c r="BS39" i="85"/>
  <c r="BR39" i="85"/>
  <c r="BP39" i="85"/>
  <c r="AI39" i="85"/>
  <c r="AH39" i="85"/>
  <c r="AG39" i="85"/>
  <c r="AF39" i="85"/>
  <c r="AE39" i="85"/>
  <c r="AD39" i="85"/>
  <c r="AC39" i="85"/>
  <c r="AB39" i="85"/>
  <c r="AA39" i="85"/>
  <c r="Z39" i="85"/>
  <c r="X39" i="85"/>
  <c r="W39" i="85"/>
  <c r="V39" i="85"/>
  <c r="DH38" i="85"/>
  <c r="DK38" i="85" s="1"/>
  <c r="DG38" i="85"/>
  <c r="DJ38" i="85" s="1"/>
  <c r="DF38" i="85"/>
  <c r="DI38" i="85" s="1"/>
  <c r="BZ38" i="85"/>
  <c r="BY38" i="85"/>
  <c r="BT38" i="85"/>
  <c r="BS38" i="85"/>
  <c r="BR38" i="85"/>
  <c r="BP38" i="85"/>
  <c r="AI38" i="85"/>
  <c r="AH38" i="85"/>
  <c r="AC38" i="85"/>
  <c r="AB38" i="85"/>
  <c r="AA38" i="85"/>
  <c r="Z38" i="85"/>
  <c r="X38" i="85"/>
  <c r="W38" i="85"/>
  <c r="V38" i="85"/>
  <c r="DH37" i="85"/>
  <c r="DK37" i="85" s="1"/>
  <c r="DG37" i="85"/>
  <c r="DJ37" i="85" s="1"/>
  <c r="DF37" i="85"/>
  <c r="DI37" i="85" s="1"/>
  <c r="BZ37" i="85"/>
  <c r="BY37" i="85"/>
  <c r="BX37" i="85"/>
  <c r="BW37" i="85"/>
  <c r="BV37" i="85"/>
  <c r="BU37" i="85"/>
  <c r="BT37" i="85"/>
  <c r="BS37" i="85"/>
  <c r="BR37" i="85"/>
  <c r="BP37" i="85"/>
  <c r="AI37" i="85"/>
  <c r="AH37" i="85"/>
  <c r="AG37" i="85"/>
  <c r="AF37" i="85"/>
  <c r="AE37" i="85"/>
  <c r="AD37" i="85"/>
  <c r="AC37" i="85"/>
  <c r="AB37" i="85"/>
  <c r="AA37" i="85"/>
  <c r="Z37" i="85"/>
  <c r="X37" i="85"/>
  <c r="W37" i="85"/>
  <c r="V37" i="85"/>
  <c r="DH36" i="85"/>
  <c r="DK36" i="85" s="1"/>
  <c r="DG36" i="85"/>
  <c r="DJ36" i="85" s="1"/>
  <c r="DF36" i="85"/>
  <c r="DI36" i="85" s="1"/>
  <c r="BZ36" i="85"/>
  <c r="BY36" i="85"/>
  <c r="BW36" i="85"/>
  <c r="BV36" i="85"/>
  <c r="BU36" i="85"/>
  <c r="BT36" i="85"/>
  <c r="BS36" i="85"/>
  <c r="BR36" i="85"/>
  <c r="BP36" i="85"/>
  <c r="AI36" i="85"/>
  <c r="AH36" i="85"/>
  <c r="AF36" i="85"/>
  <c r="AE36" i="85"/>
  <c r="AD36" i="85"/>
  <c r="AC36" i="85"/>
  <c r="AB36" i="85"/>
  <c r="AA36" i="85"/>
  <c r="Z36" i="85"/>
  <c r="X36" i="85"/>
  <c r="W36" i="85"/>
  <c r="V36" i="85"/>
  <c r="DH35" i="85"/>
  <c r="DK35" i="85" s="1"/>
  <c r="DG35" i="85"/>
  <c r="DJ35" i="85" s="1"/>
  <c r="DF35" i="85"/>
  <c r="DI35" i="85" s="1"/>
  <c r="BZ35" i="85"/>
  <c r="BY35" i="85"/>
  <c r="BW35" i="85"/>
  <c r="BV35" i="85"/>
  <c r="BU35" i="85"/>
  <c r="BT35" i="85"/>
  <c r="BS35" i="85"/>
  <c r="BR35" i="85"/>
  <c r="BP35" i="85"/>
  <c r="AI35" i="85"/>
  <c r="AH35" i="85"/>
  <c r="AF35" i="85"/>
  <c r="AE35" i="85"/>
  <c r="AD35" i="85"/>
  <c r="AC35" i="85"/>
  <c r="AB35" i="85"/>
  <c r="AA35" i="85"/>
  <c r="Z35" i="85"/>
  <c r="X35" i="85"/>
  <c r="W35" i="85"/>
  <c r="V35" i="85"/>
  <c r="DH34" i="85"/>
  <c r="DK34" i="85" s="1"/>
  <c r="DG34" i="85"/>
  <c r="DJ34" i="85" s="1"/>
  <c r="DF34" i="85"/>
  <c r="DI34" i="85" s="1"/>
  <c r="BZ34" i="85"/>
  <c r="BY34" i="85"/>
  <c r="BX34" i="85"/>
  <c r="BW34" i="85"/>
  <c r="BV34" i="85"/>
  <c r="BU34" i="85"/>
  <c r="BT34" i="85"/>
  <c r="BS34" i="85"/>
  <c r="BR34" i="85"/>
  <c r="BP34" i="85"/>
  <c r="AI34" i="85"/>
  <c r="AH34" i="85"/>
  <c r="AG34" i="85"/>
  <c r="AF34" i="85"/>
  <c r="AE34" i="85"/>
  <c r="AD34" i="85"/>
  <c r="AC34" i="85"/>
  <c r="AB34" i="85"/>
  <c r="AA34" i="85"/>
  <c r="Z34" i="85"/>
  <c r="X34" i="85"/>
  <c r="W34" i="85"/>
  <c r="V34" i="85"/>
  <c r="DH33" i="85"/>
  <c r="DK33" i="85" s="1"/>
  <c r="DG33" i="85"/>
  <c r="DJ33" i="85" s="1"/>
  <c r="DF33" i="85"/>
  <c r="DI33" i="85" s="1"/>
  <c r="BZ33" i="85"/>
  <c r="BY33" i="85"/>
  <c r="BX33" i="85"/>
  <c r="BW33" i="85"/>
  <c r="BV33" i="85"/>
  <c r="BU33" i="85"/>
  <c r="BT33" i="85"/>
  <c r="BS33" i="85"/>
  <c r="BR33" i="85"/>
  <c r="BP33" i="85"/>
  <c r="AI33" i="85"/>
  <c r="AH33" i="85"/>
  <c r="AG33" i="85"/>
  <c r="AF33" i="85"/>
  <c r="AE33" i="85"/>
  <c r="AD33" i="85"/>
  <c r="AC33" i="85"/>
  <c r="AB33" i="85"/>
  <c r="AA33" i="85"/>
  <c r="Z33" i="85"/>
  <c r="X33" i="85"/>
  <c r="W33" i="85"/>
  <c r="V33" i="85"/>
  <c r="DH32" i="85"/>
  <c r="DK32" i="85" s="1"/>
  <c r="DG32" i="85"/>
  <c r="DJ32" i="85" s="1"/>
  <c r="DF32" i="85"/>
  <c r="DI32" i="85" s="1"/>
  <c r="BZ32" i="85"/>
  <c r="BY32" i="85"/>
  <c r="BX32" i="85"/>
  <c r="BW32" i="85"/>
  <c r="BV32" i="85"/>
  <c r="BU32" i="85"/>
  <c r="BT32" i="85"/>
  <c r="BS32" i="85"/>
  <c r="BR32" i="85"/>
  <c r="BP32" i="85"/>
  <c r="AI32" i="85"/>
  <c r="AH32" i="85"/>
  <c r="AG32" i="85"/>
  <c r="AF32" i="85"/>
  <c r="AE32" i="85"/>
  <c r="AD32" i="85"/>
  <c r="AC32" i="85"/>
  <c r="AB32" i="85"/>
  <c r="AA32" i="85"/>
  <c r="Z32" i="85"/>
  <c r="X32" i="85"/>
  <c r="W32" i="85"/>
  <c r="V32" i="85"/>
  <c r="DH31" i="85"/>
  <c r="DK31" i="85" s="1"/>
  <c r="DG31" i="85"/>
  <c r="DJ31" i="85" s="1"/>
  <c r="DF31" i="85"/>
  <c r="DI31" i="85" s="1"/>
  <c r="BZ31" i="85"/>
  <c r="BY31" i="85"/>
  <c r="BT31" i="85"/>
  <c r="BS31" i="85"/>
  <c r="BR31" i="85"/>
  <c r="BP31" i="85"/>
  <c r="AI31" i="85"/>
  <c r="AH31" i="85"/>
  <c r="AC31" i="85"/>
  <c r="AB31" i="85"/>
  <c r="AA31" i="85"/>
  <c r="Z31" i="85"/>
  <c r="X31" i="85"/>
  <c r="W31" i="85"/>
  <c r="V31" i="85"/>
  <c r="DH30" i="85"/>
  <c r="DK30" i="85" s="1"/>
  <c r="DG30" i="85"/>
  <c r="DJ30" i="85" s="1"/>
  <c r="DF30" i="85"/>
  <c r="DI30" i="85" s="1"/>
  <c r="BZ30" i="85"/>
  <c r="BY30" i="85"/>
  <c r="BX30" i="85"/>
  <c r="BW30" i="85"/>
  <c r="BV30" i="85"/>
  <c r="BU30" i="85"/>
  <c r="BT30" i="85"/>
  <c r="BS30" i="85"/>
  <c r="BR30" i="85"/>
  <c r="BP30" i="85"/>
  <c r="AI30" i="85"/>
  <c r="AH30" i="85"/>
  <c r="AG30" i="85"/>
  <c r="AF30" i="85"/>
  <c r="AE30" i="85"/>
  <c r="AD30" i="85"/>
  <c r="AC30" i="85"/>
  <c r="AB30" i="85"/>
  <c r="AA30" i="85"/>
  <c r="Z30" i="85"/>
  <c r="X30" i="85"/>
  <c r="W30" i="85"/>
  <c r="V30" i="85"/>
  <c r="DH29" i="85"/>
  <c r="DK29" i="85" s="1"/>
  <c r="DG29" i="85"/>
  <c r="DJ29" i="85" s="1"/>
  <c r="DF29" i="85"/>
  <c r="DI29" i="85" s="1"/>
  <c r="BZ29" i="85"/>
  <c r="BY29" i="85"/>
  <c r="BX29" i="85"/>
  <c r="BV29" i="85"/>
  <c r="BU29" i="85"/>
  <c r="BT29" i="85"/>
  <c r="BS29" i="85"/>
  <c r="BR29" i="85"/>
  <c r="BP29" i="85"/>
  <c r="AI29" i="85"/>
  <c r="AH29" i="85"/>
  <c r="AG29" i="85"/>
  <c r="AE29" i="85"/>
  <c r="AD29" i="85"/>
  <c r="AC29" i="85"/>
  <c r="AB29" i="85"/>
  <c r="AA29" i="85"/>
  <c r="Z29" i="85"/>
  <c r="X29" i="85"/>
  <c r="W29" i="85"/>
  <c r="V29" i="85"/>
  <c r="DH28" i="85"/>
  <c r="DK28" i="85" s="1"/>
  <c r="DG28" i="85"/>
  <c r="DJ28" i="85" s="1"/>
  <c r="DF28" i="85"/>
  <c r="DI28" i="85" s="1"/>
  <c r="BZ28" i="85"/>
  <c r="BY28" i="85"/>
  <c r="BX28" i="85"/>
  <c r="BV28" i="85"/>
  <c r="BU28" i="85"/>
  <c r="BT28" i="85"/>
  <c r="BS28" i="85"/>
  <c r="BR28" i="85"/>
  <c r="BP28" i="85"/>
  <c r="AI28" i="85"/>
  <c r="AH28" i="85"/>
  <c r="AG28" i="85"/>
  <c r="AE28" i="85"/>
  <c r="AD28" i="85"/>
  <c r="AC28" i="85"/>
  <c r="AB28" i="85"/>
  <c r="AA28" i="85"/>
  <c r="Z28" i="85"/>
  <c r="X28" i="85"/>
  <c r="W28" i="85"/>
  <c r="V28" i="85"/>
  <c r="DH27" i="85"/>
  <c r="DK27" i="85" s="1"/>
  <c r="DG27" i="85"/>
  <c r="DJ27" i="85" s="1"/>
  <c r="DF27" i="85"/>
  <c r="DI27" i="85" s="1"/>
  <c r="BZ27" i="85"/>
  <c r="BY27" i="85"/>
  <c r="BX27" i="85"/>
  <c r="BW27" i="85"/>
  <c r="BV27" i="85"/>
  <c r="BU27" i="85"/>
  <c r="BT27" i="85"/>
  <c r="BS27" i="85"/>
  <c r="BR27" i="85"/>
  <c r="BP27" i="85"/>
  <c r="AI27" i="85"/>
  <c r="AH27" i="85"/>
  <c r="AG27" i="85"/>
  <c r="AF27" i="85"/>
  <c r="AE27" i="85"/>
  <c r="AD27" i="85"/>
  <c r="AC27" i="85"/>
  <c r="AB27" i="85"/>
  <c r="AA27" i="85"/>
  <c r="Z27" i="85"/>
  <c r="X27" i="85"/>
  <c r="W27" i="85"/>
  <c r="V27" i="85"/>
  <c r="DH26" i="85"/>
  <c r="DK26" i="85" s="1"/>
  <c r="DG26" i="85"/>
  <c r="DJ26" i="85" s="1"/>
  <c r="DF26" i="85"/>
  <c r="DI26" i="85" s="1"/>
  <c r="BZ26" i="85"/>
  <c r="BY26" i="85"/>
  <c r="BX26" i="85"/>
  <c r="BW26" i="85"/>
  <c r="BV26" i="85"/>
  <c r="BU26" i="85"/>
  <c r="BT26" i="85"/>
  <c r="BS26" i="85"/>
  <c r="BR26" i="85"/>
  <c r="BP26" i="85"/>
  <c r="AI26" i="85"/>
  <c r="AH26" i="85"/>
  <c r="AG26" i="85"/>
  <c r="AF26" i="85"/>
  <c r="AE26" i="85"/>
  <c r="AD26" i="85"/>
  <c r="AC26" i="85"/>
  <c r="AB26" i="85"/>
  <c r="AA26" i="85"/>
  <c r="Z26" i="85"/>
  <c r="X26" i="85"/>
  <c r="W26" i="85"/>
  <c r="V26" i="85"/>
  <c r="DH25" i="85"/>
  <c r="DK25" i="85" s="1"/>
  <c r="DG25" i="85"/>
  <c r="DJ25" i="85" s="1"/>
  <c r="DF25" i="85"/>
  <c r="DI25" i="85" s="1"/>
  <c r="BZ25" i="85"/>
  <c r="BY25" i="85"/>
  <c r="BX25" i="85"/>
  <c r="BW25" i="85"/>
  <c r="BV25" i="85"/>
  <c r="BU25" i="85"/>
  <c r="BT25" i="85"/>
  <c r="BS25" i="85"/>
  <c r="BR25" i="85"/>
  <c r="BP25" i="85"/>
  <c r="AI25" i="85"/>
  <c r="AH25" i="85"/>
  <c r="AG25" i="85"/>
  <c r="AF25" i="85"/>
  <c r="AE25" i="85"/>
  <c r="AD25" i="85"/>
  <c r="AC25" i="85"/>
  <c r="AB25" i="85"/>
  <c r="AA25" i="85"/>
  <c r="Z25" i="85"/>
  <c r="X25" i="85"/>
  <c r="W25" i="85"/>
  <c r="V25" i="85"/>
  <c r="DH24" i="85"/>
  <c r="DK24" i="85" s="1"/>
  <c r="DG24" i="85"/>
  <c r="DJ24" i="85" s="1"/>
  <c r="DF24" i="85"/>
  <c r="DI24" i="85" s="1"/>
  <c r="BZ24" i="85"/>
  <c r="BY24" i="85"/>
  <c r="BX24" i="85"/>
  <c r="BT24" i="85"/>
  <c r="BS24" i="85"/>
  <c r="BR24" i="85"/>
  <c r="BP24" i="85"/>
  <c r="AI24" i="85"/>
  <c r="AH24" i="85"/>
  <c r="AG24" i="85"/>
  <c r="AC24" i="85"/>
  <c r="AB24" i="85"/>
  <c r="AA24" i="85"/>
  <c r="Z24" i="85"/>
  <c r="X24" i="85"/>
  <c r="W24" i="85"/>
  <c r="V24" i="85"/>
  <c r="DH23" i="85"/>
  <c r="DK23" i="85" s="1"/>
  <c r="DG23" i="85"/>
  <c r="DJ23" i="85" s="1"/>
  <c r="DF23" i="85"/>
  <c r="DI23" i="85" s="1"/>
  <c r="BZ23" i="85"/>
  <c r="BY23" i="85"/>
  <c r="BX23" i="85"/>
  <c r="BW23" i="85"/>
  <c r="BV23" i="85"/>
  <c r="BU23" i="85"/>
  <c r="BT23" i="85"/>
  <c r="BS23" i="85"/>
  <c r="BR23" i="85"/>
  <c r="BP23" i="85"/>
  <c r="AI23" i="85"/>
  <c r="AH23" i="85"/>
  <c r="AG23" i="85"/>
  <c r="AF23" i="85"/>
  <c r="AE23" i="85"/>
  <c r="AD23" i="85"/>
  <c r="AC23" i="85"/>
  <c r="AB23" i="85"/>
  <c r="AA23" i="85"/>
  <c r="Z23" i="85"/>
  <c r="X23" i="85"/>
  <c r="W23" i="85"/>
  <c r="V23" i="85"/>
  <c r="DH22" i="85"/>
  <c r="DK22" i="85" s="1"/>
  <c r="DG22" i="85"/>
  <c r="DJ22" i="85" s="1"/>
  <c r="DF22" i="85"/>
  <c r="DI22" i="85" s="1"/>
  <c r="BZ22" i="85"/>
  <c r="BY22" i="85"/>
  <c r="BX22" i="85"/>
  <c r="BW22" i="85"/>
  <c r="BU22" i="85"/>
  <c r="BT22" i="85"/>
  <c r="BS22" i="85"/>
  <c r="BR22" i="85"/>
  <c r="BP22" i="85"/>
  <c r="AI22" i="85"/>
  <c r="AH22" i="85"/>
  <c r="AG22" i="85"/>
  <c r="AF22" i="85"/>
  <c r="AD22" i="85"/>
  <c r="AC22" i="85"/>
  <c r="AB22" i="85"/>
  <c r="AA22" i="85"/>
  <c r="Z22" i="85"/>
  <c r="X22" i="85"/>
  <c r="DH21" i="85"/>
  <c r="DK21" i="85" s="1"/>
  <c r="DG21" i="85"/>
  <c r="DJ21" i="85" s="1"/>
  <c r="DF21" i="85"/>
  <c r="DI21" i="85" s="1"/>
  <c r="BZ21" i="85"/>
  <c r="BY21" i="85"/>
  <c r="BX21" i="85"/>
  <c r="BW21" i="85"/>
  <c r="BU21" i="85"/>
  <c r="BT21" i="85"/>
  <c r="BS21" i="85"/>
  <c r="BR21" i="85"/>
  <c r="BP21" i="85"/>
  <c r="AI21" i="85"/>
  <c r="AH21" i="85"/>
  <c r="AG21" i="85"/>
  <c r="AF21" i="85"/>
  <c r="AD21" i="85"/>
  <c r="AC21" i="85"/>
  <c r="AB21" i="85"/>
  <c r="AA21" i="85"/>
  <c r="Z21" i="85"/>
  <c r="X21" i="85"/>
  <c r="W21" i="85"/>
  <c r="V21" i="85"/>
  <c r="DH20" i="85"/>
  <c r="DK20" i="85" s="1"/>
  <c r="DG20" i="85"/>
  <c r="DJ20" i="85" s="1"/>
  <c r="DF20" i="85"/>
  <c r="DI20" i="85" s="1"/>
  <c r="BZ20" i="85"/>
  <c r="BY20" i="85"/>
  <c r="BX20" i="85"/>
  <c r="BW20" i="85"/>
  <c r="BV20" i="85"/>
  <c r="BU20" i="85"/>
  <c r="BT20" i="85"/>
  <c r="BS20" i="85"/>
  <c r="BR20" i="85"/>
  <c r="BP20" i="85"/>
  <c r="AI20" i="85"/>
  <c r="AH20" i="85"/>
  <c r="AG20" i="85"/>
  <c r="AF20" i="85"/>
  <c r="AE20" i="85"/>
  <c r="AD20" i="85"/>
  <c r="AC20" i="85"/>
  <c r="AB20" i="85"/>
  <c r="AA20" i="85"/>
  <c r="Z20" i="85"/>
  <c r="X20" i="85"/>
  <c r="W20" i="85"/>
  <c r="V20" i="85"/>
  <c r="DH19" i="85"/>
  <c r="DK19" i="85" s="1"/>
  <c r="DG19" i="85"/>
  <c r="DJ19" i="85" s="1"/>
  <c r="DF19" i="85"/>
  <c r="DI19" i="85" s="1"/>
  <c r="BZ19" i="85"/>
  <c r="BY19" i="85"/>
  <c r="BX19" i="85"/>
  <c r="BW19" i="85"/>
  <c r="BV19" i="85"/>
  <c r="BU19" i="85"/>
  <c r="BT19" i="85"/>
  <c r="BS19" i="85"/>
  <c r="BR19" i="85"/>
  <c r="BP19" i="85"/>
  <c r="AI19" i="85"/>
  <c r="AH19" i="85"/>
  <c r="AG19" i="85"/>
  <c r="AF19" i="85"/>
  <c r="AE19" i="85"/>
  <c r="AD19" i="85"/>
  <c r="AC19" i="85"/>
  <c r="AB19" i="85"/>
  <c r="AA19" i="85"/>
  <c r="Z19" i="85"/>
  <c r="X19" i="85"/>
  <c r="W19" i="85"/>
  <c r="V19" i="85"/>
  <c r="DH18" i="85"/>
  <c r="DK18" i="85" s="1"/>
  <c r="DG18" i="85"/>
  <c r="DJ18" i="85" s="1"/>
  <c r="DF18" i="85"/>
  <c r="DI18" i="85" s="1"/>
  <c r="BZ18" i="85"/>
  <c r="BY18" i="85"/>
  <c r="BX18" i="85"/>
  <c r="BW18" i="85"/>
  <c r="BV18" i="85"/>
  <c r="BU18" i="85"/>
  <c r="BT18" i="85"/>
  <c r="BS18" i="85"/>
  <c r="BR18" i="85"/>
  <c r="BP18" i="85"/>
  <c r="AI18" i="85"/>
  <c r="AH18" i="85"/>
  <c r="AG18" i="85"/>
  <c r="AF18" i="85"/>
  <c r="AE18" i="85"/>
  <c r="AD18" i="85"/>
  <c r="AC18" i="85"/>
  <c r="AB18" i="85"/>
  <c r="AA18" i="85"/>
  <c r="Z18" i="85"/>
  <c r="X18" i="85"/>
  <c r="W18" i="85"/>
  <c r="V18" i="85"/>
  <c r="DH17" i="85"/>
  <c r="DK17" i="85" s="1"/>
  <c r="DG17" i="85"/>
  <c r="DJ17" i="85" s="1"/>
  <c r="DF17" i="85"/>
  <c r="DI17" i="85" s="1"/>
  <c r="BZ17" i="85"/>
  <c r="BY17" i="85"/>
  <c r="BW17" i="85"/>
  <c r="BT17" i="85"/>
  <c r="BS17" i="85"/>
  <c r="BR17" i="85"/>
  <c r="BP17" i="85"/>
  <c r="AI17" i="85"/>
  <c r="AH17" i="85"/>
  <c r="AF17" i="85"/>
  <c r="AC17" i="85"/>
  <c r="AB17" i="85"/>
  <c r="AA17" i="85"/>
  <c r="Z17" i="85"/>
  <c r="X17" i="85"/>
  <c r="W17" i="85"/>
  <c r="V17" i="85"/>
  <c r="DH16" i="85"/>
  <c r="DK16" i="85" s="1"/>
  <c r="DG16" i="85"/>
  <c r="DJ16" i="85" s="1"/>
  <c r="DF16" i="85"/>
  <c r="DI16" i="85" s="1"/>
  <c r="BZ16" i="85"/>
  <c r="BY16" i="85"/>
  <c r="BX16" i="85"/>
  <c r="BW16" i="85"/>
  <c r="BV16" i="85"/>
  <c r="BU16" i="85"/>
  <c r="BT16" i="85"/>
  <c r="BS16" i="85"/>
  <c r="BR16" i="85"/>
  <c r="BP16" i="85"/>
  <c r="AI16" i="85"/>
  <c r="AH16" i="85"/>
  <c r="AG16" i="85"/>
  <c r="AF16" i="85"/>
  <c r="AE16" i="85"/>
  <c r="AD16" i="85"/>
  <c r="AC16" i="85"/>
  <c r="AB16" i="85"/>
  <c r="AA16" i="85"/>
  <c r="Z16" i="85"/>
  <c r="X16" i="85"/>
  <c r="W16" i="85"/>
  <c r="V16" i="85"/>
  <c r="DH15" i="85"/>
  <c r="DK15" i="85" s="1"/>
  <c r="DG15" i="85"/>
  <c r="DJ15" i="85" s="1"/>
  <c r="DF15" i="85"/>
  <c r="DI15" i="85" s="1"/>
  <c r="BZ15" i="85"/>
  <c r="BY15" i="85"/>
  <c r="BX15" i="85"/>
  <c r="BW15" i="85"/>
  <c r="BV15" i="85"/>
  <c r="BT15" i="85"/>
  <c r="BS15" i="85"/>
  <c r="BR15" i="85"/>
  <c r="BP15" i="85"/>
  <c r="AI15" i="85"/>
  <c r="AH15" i="85"/>
  <c r="AG15" i="85"/>
  <c r="AF15" i="85"/>
  <c r="AE15" i="85"/>
  <c r="AC15" i="85"/>
  <c r="AB15" i="85"/>
  <c r="AA15" i="85"/>
  <c r="Z15" i="85"/>
  <c r="X15" i="85"/>
  <c r="W15" i="85"/>
  <c r="V15" i="85"/>
  <c r="A15" i="85"/>
  <c r="A11" i="85"/>
  <c r="A1" i="85"/>
  <c r="AW85" i="84"/>
  <c r="CN85" i="84" s="1"/>
  <c r="AW84" i="84"/>
  <c r="CN84" i="84" s="1"/>
  <c r="AW83" i="84"/>
  <c r="CN83" i="84" s="1"/>
  <c r="AW82" i="84"/>
  <c r="CN82" i="84" s="1"/>
  <c r="A57" i="84"/>
  <c r="A53" i="84"/>
  <c r="A52" i="84"/>
  <c r="A51" i="84"/>
  <c r="A50" i="84"/>
  <c r="A48" i="84"/>
  <c r="DK46" i="84"/>
  <c r="DJ46" i="84"/>
  <c r="U46" i="84"/>
  <c r="T46" i="84"/>
  <c r="DH45" i="84"/>
  <c r="DK45" i="84" s="1"/>
  <c r="DG45" i="84"/>
  <c r="DJ45" i="84" s="1"/>
  <c r="DF45" i="84"/>
  <c r="DI45" i="84" s="1"/>
  <c r="BZ45" i="84"/>
  <c r="BY45" i="84"/>
  <c r="BX45" i="84"/>
  <c r="BW45" i="84"/>
  <c r="BV45" i="84"/>
  <c r="BT45" i="84"/>
  <c r="BS45" i="84"/>
  <c r="BR45" i="84"/>
  <c r="BP45" i="84"/>
  <c r="AI45" i="84"/>
  <c r="AH45" i="84"/>
  <c r="AG45" i="84"/>
  <c r="AF45" i="84"/>
  <c r="AE45" i="84"/>
  <c r="AC45" i="84"/>
  <c r="AB45" i="84"/>
  <c r="AA45" i="84"/>
  <c r="Z45" i="84"/>
  <c r="X45" i="84"/>
  <c r="W45" i="84"/>
  <c r="V45" i="84"/>
  <c r="DH44" i="84"/>
  <c r="DK44" i="84" s="1"/>
  <c r="DG44" i="84"/>
  <c r="DJ44" i="84" s="1"/>
  <c r="DF44" i="84"/>
  <c r="DI44" i="84" s="1"/>
  <c r="BZ44" i="84"/>
  <c r="BY44" i="84"/>
  <c r="BX44" i="84"/>
  <c r="BW44" i="84"/>
  <c r="BV44" i="84"/>
  <c r="BU44" i="84"/>
  <c r="BT44" i="84"/>
  <c r="BS44" i="84"/>
  <c r="BR44" i="84"/>
  <c r="BP44" i="84"/>
  <c r="AI44" i="84"/>
  <c r="AH44" i="84"/>
  <c r="AG44" i="84"/>
  <c r="AF44" i="84"/>
  <c r="AE44" i="84"/>
  <c r="AD44" i="84"/>
  <c r="AC44" i="84"/>
  <c r="AB44" i="84"/>
  <c r="AA44" i="84"/>
  <c r="Z44" i="84"/>
  <c r="X44" i="84"/>
  <c r="W44" i="84"/>
  <c r="V44" i="84"/>
  <c r="DH43" i="84"/>
  <c r="DK43" i="84" s="1"/>
  <c r="DG43" i="84"/>
  <c r="DJ43" i="84" s="1"/>
  <c r="DF43" i="84"/>
  <c r="DI43" i="84" s="1"/>
  <c r="BZ43" i="84"/>
  <c r="BY43" i="84"/>
  <c r="BX43" i="84"/>
  <c r="BW43" i="84"/>
  <c r="BV43" i="84"/>
  <c r="BU43" i="84"/>
  <c r="BT43" i="84"/>
  <c r="BS43" i="84"/>
  <c r="BR43" i="84"/>
  <c r="BP43" i="84"/>
  <c r="AI43" i="84"/>
  <c r="AH43" i="84"/>
  <c r="AG43" i="84"/>
  <c r="AF43" i="84"/>
  <c r="AE43" i="84"/>
  <c r="AD43" i="84"/>
  <c r="AC43" i="84"/>
  <c r="AB43" i="84"/>
  <c r="AA43" i="84"/>
  <c r="Z43" i="84"/>
  <c r="X43" i="84"/>
  <c r="W43" i="84"/>
  <c r="V43" i="84"/>
  <c r="DH42" i="84"/>
  <c r="DK42" i="84" s="1"/>
  <c r="DG42" i="84"/>
  <c r="DJ42" i="84" s="1"/>
  <c r="DF42" i="84"/>
  <c r="DI42" i="84" s="1"/>
  <c r="BZ42" i="84"/>
  <c r="BY42" i="84"/>
  <c r="BX42" i="84"/>
  <c r="BW42" i="84"/>
  <c r="BV42" i="84"/>
  <c r="BU42" i="84"/>
  <c r="BT42" i="84"/>
  <c r="BS42" i="84"/>
  <c r="BR42" i="84"/>
  <c r="BP42" i="84"/>
  <c r="AI42" i="84"/>
  <c r="AH42" i="84"/>
  <c r="AG42" i="84"/>
  <c r="AF42" i="84"/>
  <c r="AE42" i="84"/>
  <c r="AD42" i="84"/>
  <c r="AC42" i="84"/>
  <c r="AB42" i="84"/>
  <c r="AA42" i="84"/>
  <c r="Z42" i="84"/>
  <c r="X42" i="84"/>
  <c r="W42" i="84"/>
  <c r="V42" i="84"/>
  <c r="DH41" i="84"/>
  <c r="DK41" i="84" s="1"/>
  <c r="DG41" i="84"/>
  <c r="DJ41" i="84" s="1"/>
  <c r="DF41" i="84"/>
  <c r="DI41" i="84" s="1"/>
  <c r="BZ41" i="84"/>
  <c r="BY41" i="84"/>
  <c r="BT41" i="84"/>
  <c r="BS41" i="84"/>
  <c r="BR41" i="84"/>
  <c r="BP41" i="84"/>
  <c r="AI41" i="84"/>
  <c r="AH41" i="84"/>
  <c r="AC41" i="84"/>
  <c r="AB41" i="84"/>
  <c r="AA41" i="84"/>
  <c r="Z41" i="84"/>
  <c r="X41" i="84"/>
  <c r="W41" i="84"/>
  <c r="V41" i="84"/>
  <c r="DH40" i="84"/>
  <c r="DK40" i="84" s="1"/>
  <c r="DG40" i="84"/>
  <c r="DJ40" i="84" s="1"/>
  <c r="DF40" i="84"/>
  <c r="DI40" i="84" s="1"/>
  <c r="BZ40" i="84"/>
  <c r="BY40" i="84"/>
  <c r="BX40" i="84"/>
  <c r="BW40" i="84"/>
  <c r="BV40" i="84"/>
  <c r="BU40" i="84"/>
  <c r="BT40" i="84"/>
  <c r="BS40" i="84"/>
  <c r="BR40" i="84"/>
  <c r="BP40" i="84"/>
  <c r="AI40" i="84"/>
  <c r="AH40" i="84"/>
  <c r="AG40" i="84"/>
  <c r="AF40" i="84"/>
  <c r="AE40" i="84"/>
  <c r="AD40" i="84"/>
  <c r="AC40" i="84"/>
  <c r="AB40" i="84"/>
  <c r="AA40" i="84"/>
  <c r="Z40" i="84"/>
  <c r="X40" i="84"/>
  <c r="W40" i="84"/>
  <c r="V40" i="84"/>
  <c r="DH39" i="84"/>
  <c r="DK39" i="84" s="1"/>
  <c r="DG39" i="84"/>
  <c r="DJ39" i="84" s="1"/>
  <c r="DF39" i="84"/>
  <c r="DI39" i="84" s="1"/>
  <c r="BZ39" i="84"/>
  <c r="BY39" i="84"/>
  <c r="BW39" i="84"/>
  <c r="BV39" i="84"/>
  <c r="BU39" i="84"/>
  <c r="BT39" i="84"/>
  <c r="BS39" i="84"/>
  <c r="BR39" i="84"/>
  <c r="BP39" i="84"/>
  <c r="AI39" i="84"/>
  <c r="AH39" i="84"/>
  <c r="AF39" i="84"/>
  <c r="AE39" i="84"/>
  <c r="AD39" i="84"/>
  <c r="AC39" i="84"/>
  <c r="AB39" i="84"/>
  <c r="AA39" i="84"/>
  <c r="Z39" i="84"/>
  <c r="X39" i="84"/>
  <c r="W39" i="84"/>
  <c r="V39" i="84"/>
  <c r="DH38" i="84"/>
  <c r="DK38" i="84" s="1"/>
  <c r="DG38" i="84"/>
  <c r="DJ38" i="84" s="1"/>
  <c r="DF38" i="84"/>
  <c r="DI38" i="84" s="1"/>
  <c r="BZ38" i="84"/>
  <c r="BY38" i="84"/>
  <c r="BW38" i="84"/>
  <c r="BV38" i="84"/>
  <c r="BU38" i="84"/>
  <c r="BT38" i="84"/>
  <c r="BS38" i="84"/>
  <c r="BR38" i="84"/>
  <c r="BP38" i="84"/>
  <c r="AI38" i="84"/>
  <c r="AH38" i="84"/>
  <c r="AF38" i="84"/>
  <c r="AE38" i="84"/>
  <c r="AD38" i="84"/>
  <c r="AC38" i="84"/>
  <c r="AB38" i="84"/>
  <c r="AA38" i="84"/>
  <c r="Z38" i="84"/>
  <c r="X38" i="84"/>
  <c r="W38" i="84"/>
  <c r="V38" i="84"/>
  <c r="DH37" i="84"/>
  <c r="DK37" i="84" s="1"/>
  <c r="DG37" i="84"/>
  <c r="DJ37" i="84" s="1"/>
  <c r="DF37" i="84"/>
  <c r="DI37" i="84" s="1"/>
  <c r="BZ37" i="84"/>
  <c r="BY37" i="84"/>
  <c r="BX37" i="84"/>
  <c r="BW37" i="84"/>
  <c r="BV37" i="84"/>
  <c r="BU37" i="84"/>
  <c r="BT37" i="84"/>
  <c r="BS37" i="84"/>
  <c r="BR37" i="84"/>
  <c r="BP37" i="84"/>
  <c r="AI37" i="84"/>
  <c r="AH37" i="84"/>
  <c r="AG37" i="84"/>
  <c r="AF37" i="84"/>
  <c r="AE37" i="84"/>
  <c r="AD37" i="84"/>
  <c r="AC37" i="84"/>
  <c r="AB37" i="84"/>
  <c r="AA37" i="84"/>
  <c r="Z37" i="84"/>
  <c r="X37" i="84"/>
  <c r="W37" i="84"/>
  <c r="V37" i="84"/>
  <c r="DH36" i="84"/>
  <c r="DK36" i="84" s="1"/>
  <c r="DG36" i="84"/>
  <c r="DJ36" i="84" s="1"/>
  <c r="DF36" i="84"/>
  <c r="DI36" i="84" s="1"/>
  <c r="BZ36" i="84"/>
  <c r="BY36" i="84"/>
  <c r="BX36" i="84"/>
  <c r="BW36" i="84"/>
  <c r="BV36" i="84"/>
  <c r="BU36" i="84"/>
  <c r="BT36" i="84"/>
  <c r="BS36" i="84"/>
  <c r="BR36" i="84"/>
  <c r="BP36" i="84"/>
  <c r="AI36" i="84"/>
  <c r="AH36" i="84"/>
  <c r="AG36" i="84"/>
  <c r="AF36" i="84"/>
  <c r="AE36" i="84"/>
  <c r="AD36" i="84"/>
  <c r="AC36" i="84"/>
  <c r="AB36" i="84"/>
  <c r="AA36" i="84"/>
  <c r="Z36" i="84"/>
  <c r="X36" i="84"/>
  <c r="W36" i="84"/>
  <c r="V36" i="84"/>
  <c r="DH35" i="84"/>
  <c r="DK35" i="84" s="1"/>
  <c r="DG35" i="84"/>
  <c r="DJ35" i="84" s="1"/>
  <c r="DF35" i="84"/>
  <c r="DI35" i="84" s="1"/>
  <c r="BZ35" i="84"/>
  <c r="BY35" i="84"/>
  <c r="BX35" i="84"/>
  <c r="BW35" i="84"/>
  <c r="BV35" i="84"/>
  <c r="BU35" i="84"/>
  <c r="BT35" i="84"/>
  <c r="BS35" i="84"/>
  <c r="BR35" i="84"/>
  <c r="BP35" i="84"/>
  <c r="AI35" i="84"/>
  <c r="AH35" i="84"/>
  <c r="AG35" i="84"/>
  <c r="AF35" i="84"/>
  <c r="AE35" i="84"/>
  <c r="AD35" i="84"/>
  <c r="AC35" i="84"/>
  <c r="AB35" i="84"/>
  <c r="AA35" i="84"/>
  <c r="Z35" i="84"/>
  <c r="X35" i="84"/>
  <c r="W35" i="84"/>
  <c r="V35" i="84"/>
  <c r="DH34" i="84"/>
  <c r="DK34" i="84" s="1"/>
  <c r="DG34" i="84"/>
  <c r="DJ34" i="84" s="1"/>
  <c r="DF34" i="84"/>
  <c r="DI34" i="84" s="1"/>
  <c r="BZ34" i="84"/>
  <c r="BY34" i="84"/>
  <c r="BX34" i="84"/>
  <c r="BW34" i="84"/>
  <c r="BV34" i="84"/>
  <c r="BU34" i="84"/>
  <c r="BT34" i="84"/>
  <c r="BS34" i="84"/>
  <c r="BR34" i="84"/>
  <c r="BP34" i="84"/>
  <c r="AI34" i="84"/>
  <c r="AH34" i="84"/>
  <c r="AG34" i="84"/>
  <c r="AF34" i="84"/>
  <c r="AE34" i="84"/>
  <c r="AD34" i="84"/>
  <c r="AC34" i="84"/>
  <c r="AB34" i="84"/>
  <c r="AA34" i="84"/>
  <c r="Z34" i="84"/>
  <c r="X34" i="84"/>
  <c r="W34" i="84"/>
  <c r="V34" i="84"/>
  <c r="DH33" i="84"/>
  <c r="DK33" i="84" s="1"/>
  <c r="DG33" i="84"/>
  <c r="DJ33" i="84" s="1"/>
  <c r="DF33" i="84"/>
  <c r="DI33" i="84" s="1"/>
  <c r="BZ33" i="84"/>
  <c r="BY33" i="84"/>
  <c r="BX33" i="84"/>
  <c r="BW33" i="84"/>
  <c r="BV33" i="84"/>
  <c r="BU33" i="84"/>
  <c r="BT33" i="84"/>
  <c r="BS33" i="84"/>
  <c r="BR33" i="84"/>
  <c r="BP33" i="84"/>
  <c r="AI33" i="84"/>
  <c r="AH33" i="84"/>
  <c r="AG33" i="84"/>
  <c r="AF33" i="84"/>
  <c r="AE33" i="84"/>
  <c r="AD33" i="84"/>
  <c r="AC33" i="84"/>
  <c r="AB33" i="84"/>
  <c r="AA33" i="84"/>
  <c r="Z33" i="84"/>
  <c r="X33" i="84"/>
  <c r="W33" i="84"/>
  <c r="V33" i="84"/>
  <c r="DH32" i="84"/>
  <c r="DK32" i="84" s="1"/>
  <c r="DG32" i="84"/>
  <c r="DJ32" i="84" s="1"/>
  <c r="DF32" i="84"/>
  <c r="DI32" i="84" s="1"/>
  <c r="BZ32" i="84"/>
  <c r="BY32" i="84"/>
  <c r="BX32" i="84"/>
  <c r="BW32" i="84"/>
  <c r="BV32" i="84"/>
  <c r="BU32" i="84"/>
  <c r="BT32" i="84"/>
  <c r="BS32" i="84"/>
  <c r="BR32" i="84"/>
  <c r="BP32" i="84"/>
  <c r="AI32" i="84"/>
  <c r="AH32" i="84"/>
  <c r="AG32" i="84"/>
  <c r="AF32" i="84"/>
  <c r="AE32" i="84"/>
  <c r="AD32" i="84"/>
  <c r="AC32" i="84"/>
  <c r="AB32" i="84"/>
  <c r="AA32" i="84"/>
  <c r="Z32" i="84"/>
  <c r="X32" i="84"/>
  <c r="W32" i="84"/>
  <c r="V32" i="84"/>
  <c r="DH31" i="84"/>
  <c r="DK31" i="84" s="1"/>
  <c r="DG31" i="84"/>
  <c r="DJ31" i="84" s="1"/>
  <c r="DF31" i="84"/>
  <c r="DI31" i="84" s="1"/>
  <c r="BZ31" i="84"/>
  <c r="BY31" i="84"/>
  <c r="BX31" i="84"/>
  <c r="BW31" i="84"/>
  <c r="BV31" i="84"/>
  <c r="BU31" i="84"/>
  <c r="BT31" i="84"/>
  <c r="BS31" i="84"/>
  <c r="BR31" i="84"/>
  <c r="BP31" i="84"/>
  <c r="AI31" i="84"/>
  <c r="AH31" i="84"/>
  <c r="AG31" i="84"/>
  <c r="AF31" i="84"/>
  <c r="AE31" i="84"/>
  <c r="AD31" i="84"/>
  <c r="AC31" i="84"/>
  <c r="AB31" i="84"/>
  <c r="AA31" i="84"/>
  <c r="Z31" i="84"/>
  <c r="X31" i="84"/>
  <c r="W31" i="84"/>
  <c r="V31" i="84"/>
  <c r="DH30" i="84"/>
  <c r="DK30" i="84" s="1"/>
  <c r="DG30" i="84"/>
  <c r="DJ30" i="84" s="1"/>
  <c r="DF30" i="84"/>
  <c r="DI30" i="84" s="1"/>
  <c r="BZ30" i="84"/>
  <c r="BY30" i="84"/>
  <c r="BX30" i="84"/>
  <c r="BW30" i="84"/>
  <c r="BV30" i="84"/>
  <c r="BU30" i="84"/>
  <c r="BT30" i="84"/>
  <c r="BS30" i="84"/>
  <c r="BR30" i="84"/>
  <c r="BP30" i="84"/>
  <c r="AI30" i="84"/>
  <c r="AH30" i="84"/>
  <c r="AG30" i="84"/>
  <c r="AF30" i="84"/>
  <c r="AE30" i="84"/>
  <c r="AD30" i="84"/>
  <c r="AC30" i="84"/>
  <c r="AB30" i="84"/>
  <c r="AA30" i="84"/>
  <c r="Z30" i="84"/>
  <c r="X30" i="84"/>
  <c r="W30" i="84"/>
  <c r="V30" i="84"/>
  <c r="DH29" i="84"/>
  <c r="DK29" i="84" s="1"/>
  <c r="DG29" i="84"/>
  <c r="DJ29" i="84" s="1"/>
  <c r="DF29" i="84"/>
  <c r="DI29" i="84" s="1"/>
  <c r="BZ29" i="84"/>
  <c r="BY29" i="84"/>
  <c r="BX29" i="84"/>
  <c r="BW29" i="84"/>
  <c r="BV29" i="84"/>
  <c r="BU29" i="84"/>
  <c r="BT29" i="84"/>
  <c r="BS29" i="84"/>
  <c r="BR29" i="84"/>
  <c r="BP29" i="84"/>
  <c r="AI29" i="84"/>
  <c r="AH29" i="84"/>
  <c r="AG29" i="84"/>
  <c r="AF29" i="84"/>
  <c r="AE29" i="84"/>
  <c r="AD29" i="84"/>
  <c r="AC29" i="84"/>
  <c r="AB29" i="84"/>
  <c r="AA29" i="84"/>
  <c r="Z29" i="84"/>
  <c r="X29" i="84"/>
  <c r="W29" i="84"/>
  <c r="V29" i="84"/>
  <c r="DH28" i="84"/>
  <c r="DK28" i="84" s="1"/>
  <c r="DG28" i="84"/>
  <c r="DJ28" i="84" s="1"/>
  <c r="DF28" i="84"/>
  <c r="DI28" i="84" s="1"/>
  <c r="BZ28" i="84"/>
  <c r="BY28" i="84"/>
  <c r="BX28" i="84"/>
  <c r="BW28" i="84"/>
  <c r="BV28" i="84"/>
  <c r="BU28" i="84"/>
  <c r="BT28" i="84"/>
  <c r="BS28" i="84"/>
  <c r="BR28" i="84"/>
  <c r="BP28" i="84"/>
  <c r="AI28" i="84"/>
  <c r="AH28" i="84"/>
  <c r="AG28" i="84"/>
  <c r="AF28" i="84"/>
  <c r="AE28" i="84"/>
  <c r="AD28" i="84"/>
  <c r="AC28" i="84"/>
  <c r="AB28" i="84"/>
  <c r="AA28" i="84"/>
  <c r="Z28" i="84"/>
  <c r="X28" i="84"/>
  <c r="W28" i="84"/>
  <c r="V28" i="84"/>
  <c r="DH27" i="84"/>
  <c r="DK27" i="84" s="1"/>
  <c r="DG27" i="84"/>
  <c r="DJ27" i="84" s="1"/>
  <c r="DF27" i="84"/>
  <c r="DI27" i="84" s="1"/>
  <c r="BZ27" i="84"/>
  <c r="BY27" i="84"/>
  <c r="BX27" i="84"/>
  <c r="BT27" i="84"/>
  <c r="BS27" i="84"/>
  <c r="BR27" i="84"/>
  <c r="BP27" i="84"/>
  <c r="AI27" i="84"/>
  <c r="AH27" i="84"/>
  <c r="AG27" i="84"/>
  <c r="AC27" i="84"/>
  <c r="AB27" i="84"/>
  <c r="AA27" i="84"/>
  <c r="Z27" i="84"/>
  <c r="X27" i="84"/>
  <c r="W27" i="84"/>
  <c r="V27" i="84"/>
  <c r="DH26" i="84"/>
  <c r="DK26" i="84" s="1"/>
  <c r="DG26" i="84"/>
  <c r="DJ26" i="84" s="1"/>
  <c r="DF26" i="84"/>
  <c r="DI26" i="84" s="1"/>
  <c r="BZ26" i="84"/>
  <c r="BY26" i="84"/>
  <c r="BX26" i="84"/>
  <c r="BW26" i="84"/>
  <c r="BV26" i="84"/>
  <c r="BU26" i="84"/>
  <c r="BT26" i="84"/>
  <c r="BS26" i="84"/>
  <c r="BR26" i="84"/>
  <c r="BP26" i="84"/>
  <c r="AI26" i="84"/>
  <c r="AH26" i="84"/>
  <c r="AG26" i="84"/>
  <c r="AF26" i="84"/>
  <c r="AE26" i="84"/>
  <c r="AD26" i="84"/>
  <c r="AC26" i="84"/>
  <c r="AB26" i="84"/>
  <c r="AA26" i="84"/>
  <c r="Z26" i="84"/>
  <c r="X26" i="84"/>
  <c r="W26" i="84"/>
  <c r="V26" i="84"/>
  <c r="DH25" i="84"/>
  <c r="DK25" i="84" s="1"/>
  <c r="DG25" i="84"/>
  <c r="DJ25" i="84" s="1"/>
  <c r="DF25" i="84"/>
  <c r="DI25" i="84" s="1"/>
  <c r="BZ25" i="84"/>
  <c r="BY25" i="84"/>
  <c r="BX25" i="84"/>
  <c r="BW25" i="84"/>
  <c r="BU25" i="84"/>
  <c r="BT25" i="84"/>
  <c r="BS25" i="84"/>
  <c r="BR25" i="84"/>
  <c r="BP25" i="84"/>
  <c r="AI25" i="84"/>
  <c r="AH25" i="84"/>
  <c r="AG25" i="84"/>
  <c r="AF25" i="84"/>
  <c r="AD25" i="84"/>
  <c r="AC25" i="84"/>
  <c r="AB25" i="84"/>
  <c r="AA25" i="84"/>
  <c r="Z25" i="84"/>
  <c r="X25" i="84"/>
  <c r="W25" i="84"/>
  <c r="V25" i="84"/>
  <c r="DH24" i="84"/>
  <c r="DK24" i="84" s="1"/>
  <c r="DG24" i="84"/>
  <c r="DJ24" i="84" s="1"/>
  <c r="DF24" i="84"/>
  <c r="DI24" i="84" s="1"/>
  <c r="BZ24" i="84"/>
  <c r="BY24" i="84"/>
  <c r="BX24" i="84"/>
  <c r="BW24" i="84"/>
  <c r="BU24" i="84"/>
  <c r="BT24" i="84"/>
  <c r="BS24" i="84"/>
  <c r="BR24" i="84"/>
  <c r="BP24" i="84"/>
  <c r="AI24" i="84"/>
  <c r="AH24" i="84"/>
  <c r="AG24" i="84"/>
  <c r="AF24" i="84"/>
  <c r="AD24" i="84"/>
  <c r="AC24" i="84"/>
  <c r="AB24" i="84"/>
  <c r="AA24" i="84"/>
  <c r="Z24" i="84"/>
  <c r="X24" i="84"/>
  <c r="W24" i="84"/>
  <c r="V24" i="84"/>
  <c r="DH23" i="84"/>
  <c r="DK23" i="84" s="1"/>
  <c r="DG23" i="84"/>
  <c r="DJ23" i="84" s="1"/>
  <c r="DF23" i="84"/>
  <c r="DI23" i="84" s="1"/>
  <c r="BZ23" i="84"/>
  <c r="BY23" i="84"/>
  <c r="BX23" i="84"/>
  <c r="BW23" i="84"/>
  <c r="BV23" i="84"/>
  <c r="BU23" i="84"/>
  <c r="BT23" i="84"/>
  <c r="BS23" i="84"/>
  <c r="BR23" i="84"/>
  <c r="BP23" i="84"/>
  <c r="AI23" i="84"/>
  <c r="AH23" i="84"/>
  <c r="AG23" i="84"/>
  <c r="AF23" i="84"/>
  <c r="AE23" i="84"/>
  <c r="AD23" i="84"/>
  <c r="AC23" i="84"/>
  <c r="AB23" i="84"/>
  <c r="AA23" i="84"/>
  <c r="Z23" i="84"/>
  <c r="X23" i="84"/>
  <c r="W23" i="84"/>
  <c r="V23" i="84"/>
  <c r="DH22" i="84"/>
  <c r="DK22" i="84" s="1"/>
  <c r="DG22" i="84"/>
  <c r="DJ22" i="84" s="1"/>
  <c r="DF22" i="84"/>
  <c r="DI22" i="84" s="1"/>
  <c r="BZ22" i="84"/>
  <c r="BY22" i="84"/>
  <c r="BX22" i="84"/>
  <c r="BW22" i="84"/>
  <c r="BV22" i="84"/>
  <c r="BU22" i="84"/>
  <c r="BT22" i="84"/>
  <c r="BS22" i="84"/>
  <c r="BR22" i="84"/>
  <c r="BP22" i="84"/>
  <c r="AI22" i="84"/>
  <c r="AH22" i="84"/>
  <c r="AG22" i="84"/>
  <c r="AF22" i="84"/>
  <c r="AE22" i="84"/>
  <c r="AD22" i="84"/>
  <c r="AC22" i="84"/>
  <c r="AB22" i="84"/>
  <c r="AA22" i="84"/>
  <c r="Z22" i="84"/>
  <c r="X22" i="84"/>
  <c r="DH21" i="84"/>
  <c r="DK21" i="84" s="1"/>
  <c r="DG21" i="84"/>
  <c r="DJ21" i="84" s="1"/>
  <c r="DF21" i="84"/>
  <c r="DI21" i="84" s="1"/>
  <c r="BZ21" i="84"/>
  <c r="BY21" i="84"/>
  <c r="BX21" i="84"/>
  <c r="BW21" i="84"/>
  <c r="BV21" i="84"/>
  <c r="BU21" i="84"/>
  <c r="BT21" i="84"/>
  <c r="BS21" i="84"/>
  <c r="BR21" i="84"/>
  <c r="BP21" i="84"/>
  <c r="AI21" i="84"/>
  <c r="AH21" i="84"/>
  <c r="AG21" i="84"/>
  <c r="AF21" i="84"/>
  <c r="AE21" i="84"/>
  <c r="AD21" i="84"/>
  <c r="AC21" i="84"/>
  <c r="AB21" i="84"/>
  <c r="AA21" i="84"/>
  <c r="Z21" i="84"/>
  <c r="X21" i="84"/>
  <c r="W21" i="84"/>
  <c r="V21" i="84"/>
  <c r="DH20" i="84"/>
  <c r="DK20" i="84" s="1"/>
  <c r="DG20" i="84"/>
  <c r="DJ20" i="84" s="1"/>
  <c r="DF20" i="84"/>
  <c r="DI20" i="84" s="1"/>
  <c r="BZ20" i="84"/>
  <c r="BY20" i="84"/>
  <c r="BX20" i="84"/>
  <c r="BW20" i="84"/>
  <c r="BT20" i="84"/>
  <c r="BS20" i="84"/>
  <c r="BR20" i="84"/>
  <c r="BP20" i="84"/>
  <c r="AI20" i="84"/>
  <c r="AH20" i="84"/>
  <c r="AG20" i="84"/>
  <c r="AF20" i="84"/>
  <c r="AC20" i="84"/>
  <c r="AB20" i="84"/>
  <c r="AA20" i="84"/>
  <c r="Z20" i="84"/>
  <c r="X20" i="84"/>
  <c r="W20" i="84"/>
  <c r="V20" i="84"/>
  <c r="DH19" i="84"/>
  <c r="DK19" i="84" s="1"/>
  <c r="DG19" i="84"/>
  <c r="DJ19" i="84" s="1"/>
  <c r="DF19" i="84"/>
  <c r="DI19" i="84" s="1"/>
  <c r="BZ19" i="84"/>
  <c r="BY19" i="84"/>
  <c r="BX19" i="84"/>
  <c r="BW19" i="84"/>
  <c r="BV19" i="84"/>
  <c r="BU19" i="84"/>
  <c r="BT19" i="84"/>
  <c r="BS19" i="84"/>
  <c r="BR19" i="84"/>
  <c r="BP19" i="84"/>
  <c r="AI19" i="84"/>
  <c r="AH19" i="84"/>
  <c r="AG19" i="84"/>
  <c r="AF19" i="84"/>
  <c r="AE19" i="84"/>
  <c r="AD19" i="84"/>
  <c r="AC19" i="84"/>
  <c r="AB19" i="84"/>
  <c r="AA19" i="84"/>
  <c r="Z19" i="84"/>
  <c r="X19" i="84"/>
  <c r="W19" i="84"/>
  <c r="V19" i="84"/>
  <c r="DH18" i="84"/>
  <c r="DK18" i="84" s="1"/>
  <c r="DG18" i="84"/>
  <c r="DJ18" i="84" s="1"/>
  <c r="DF18" i="84"/>
  <c r="DI18" i="84" s="1"/>
  <c r="BZ18" i="84"/>
  <c r="BY18" i="84"/>
  <c r="BX18" i="84"/>
  <c r="BW18" i="84"/>
  <c r="BV18" i="84"/>
  <c r="BT18" i="84"/>
  <c r="BS18" i="84"/>
  <c r="BR18" i="84"/>
  <c r="BP18" i="84"/>
  <c r="AI18" i="84"/>
  <c r="AH18" i="84"/>
  <c r="AG18" i="84"/>
  <c r="AF18" i="84"/>
  <c r="AE18" i="84"/>
  <c r="AC18" i="84"/>
  <c r="AB18" i="84"/>
  <c r="AA18" i="84"/>
  <c r="Z18" i="84"/>
  <c r="X18" i="84"/>
  <c r="W18" i="84"/>
  <c r="V18" i="84"/>
  <c r="DH17" i="84"/>
  <c r="DK17" i="84" s="1"/>
  <c r="DG17" i="84"/>
  <c r="DJ17" i="84" s="1"/>
  <c r="DF17" i="84"/>
  <c r="DI17" i="84" s="1"/>
  <c r="BZ17" i="84"/>
  <c r="BY17" i="84"/>
  <c r="BX17" i="84"/>
  <c r="BW17" i="84"/>
  <c r="BV17" i="84"/>
  <c r="BT17" i="84"/>
  <c r="BS17" i="84"/>
  <c r="BR17" i="84"/>
  <c r="BP17" i="84"/>
  <c r="AI17" i="84"/>
  <c r="AH17" i="84"/>
  <c r="AG17" i="84"/>
  <c r="AF17" i="84"/>
  <c r="AE17" i="84"/>
  <c r="AC17" i="84"/>
  <c r="AB17" i="84"/>
  <c r="AA17" i="84"/>
  <c r="Z17" i="84"/>
  <c r="X17" i="84"/>
  <c r="W17" i="84"/>
  <c r="V17" i="84"/>
  <c r="DH16" i="84"/>
  <c r="DK16" i="84" s="1"/>
  <c r="DG16" i="84"/>
  <c r="DJ16" i="84" s="1"/>
  <c r="DF16" i="84"/>
  <c r="DI16" i="84" s="1"/>
  <c r="BZ16" i="84"/>
  <c r="BY16" i="84"/>
  <c r="BX16" i="84"/>
  <c r="BW16" i="84"/>
  <c r="BV16" i="84"/>
  <c r="BU16" i="84"/>
  <c r="BT16" i="84"/>
  <c r="BS16" i="84"/>
  <c r="BR16" i="84"/>
  <c r="BP16" i="84"/>
  <c r="AI16" i="84"/>
  <c r="AH16" i="84"/>
  <c r="AG16" i="84"/>
  <c r="AF16" i="84"/>
  <c r="AE16" i="84"/>
  <c r="AD16" i="84"/>
  <c r="AC16" i="84"/>
  <c r="AB16" i="84"/>
  <c r="AA16" i="84"/>
  <c r="Z16" i="84"/>
  <c r="X16" i="84"/>
  <c r="W16" i="84"/>
  <c r="V16" i="84"/>
  <c r="DH15" i="84"/>
  <c r="DK15" i="84" s="1"/>
  <c r="DG15" i="84"/>
  <c r="DJ15" i="84" s="1"/>
  <c r="DF15" i="84"/>
  <c r="DI15" i="84" s="1"/>
  <c r="BZ15" i="84"/>
  <c r="BY15" i="84"/>
  <c r="BX15" i="84"/>
  <c r="BW15" i="84"/>
  <c r="BV15" i="84"/>
  <c r="BU15" i="84"/>
  <c r="BT15" i="84"/>
  <c r="BS15" i="84"/>
  <c r="BR15" i="84"/>
  <c r="BP15" i="84"/>
  <c r="AI15" i="84"/>
  <c r="AH15" i="84"/>
  <c r="AG15" i="84"/>
  <c r="AF15" i="84"/>
  <c r="AE15" i="84"/>
  <c r="AD15" i="84"/>
  <c r="AC15" i="84"/>
  <c r="AB15" i="84"/>
  <c r="AA15" i="84"/>
  <c r="Z15" i="84"/>
  <c r="X15" i="84"/>
  <c r="W15" i="84"/>
  <c r="V15" i="84"/>
  <c r="A15" i="84"/>
  <c r="A11" i="84"/>
  <c r="A1" i="84"/>
  <c r="D67" i="83"/>
  <c r="D81" i="83"/>
  <c r="H50" i="83" s="1"/>
  <c r="D80" i="83"/>
  <c r="D79" i="83"/>
  <c r="D78" i="83"/>
  <c r="D77" i="83"/>
  <c r="D76" i="83"/>
  <c r="H49" i="83" s="1"/>
  <c r="I49" i="83" s="1"/>
  <c r="D75" i="83"/>
  <c r="D74" i="83"/>
  <c r="D73" i="83"/>
  <c r="D72" i="83"/>
  <c r="D71" i="83"/>
  <c r="D70" i="83"/>
  <c r="D69" i="83"/>
  <c r="D68" i="83"/>
  <c r="D65" i="83"/>
  <c r="D62" i="83"/>
  <c r="D61" i="83"/>
  <c r="D60" i="83"/>
  <c r="D59" i="83"/>
  <c r="D65" i="41"/>
  <c r="U45" i="83"/>
  <c r="T45" i="83"/>
  <c r="S45" i="83"/>
  <c r="M45" i="83"/>
  <c r="AW85" i="83"/>
  <c r="CN85" i="83" s="1"/>
  <c r="AW84" i="83"/>
  <c r="CN84" i="83" s="1"/>
  <c r="AW83" i="83"/>
  <c r="CN83" i="83" s="1"/>
  <c r="AW82" i="83"/>
  <c r="CN82" i="83" s="1"/>
  <c r="A56" i="83"/>
  <c r="A53" i="83"/>
  <c r="A52" i="83"/>
  <c r="A51" i="83"/>
  <c r="A50" i="83"/>
  <c r="A49" i="83"/>
  <c r="A47" i="83"/>
  <c r="DK45" i="83"/>
  <c r="DJ45" i="83"/>
  <c r="DH44" i="83"/>
  <c r="DK44" i="83" s="1"/>
  <c r="DG44" i="83"/>
  <c r="DJ44" i="83" s="1"/>
  <c r="DF44" i="83"/>
  <c r="DI44" i="83" s="1"/>
  <c r="BZ44" i="83"/>
  <c r="BY44" i="83"/>
  <c r="BX44" i="83"/>
  <c r="BW44" i="83"/>
  <c r="BV44" i="83"/>
  <c r="BU44" i="83"/>
  <c r="BT44" i="83"/>
  <c r="BS44" i="83"/>
  <c r="BR44" i="83"/>
  <c r="BP44" i="83"/>
  <c r="AI44" i="83"/>
  <c r="AH44" i="83"/>
  <c r="AG44" i="83"/>
  <c r="AF44" i="83"/>
  <c r="AE44" i="83"/>
  <c r="AD44" i="83"/>
  <c r="AC44" i="83"/>
  <c r="AB44" i="83"/>
  <c r="AA44" i="83"/>
  <c r="Z44" i="83"/>
  <c r="X44" i="83"/>
  <c r="W44" i="83"/>
  <c r="V44" i="83"/>
  <c r="DH43" i="83"/>
  <c r="DK43" i="83" s="1"/>
  <c r="DG43" i="83"/>
  <c r="DJ43" i="83" s="1"/>
  <c r="DF43" i="83"/>
  <c r="DI43" i="83" s="1"/>
  <c r="BZ43" i="83"/>
  <c r="BY43" i="83"/>
  <c r="BW43" i="83"/>
  <c r="BV43" i="83"/>
  <c r="BT43" i="83"/>
  <c r="BS43" i="83"/>
  <c r="BR43" i="83"/>
  <c r="BP43" i="83"/>
  <c r="AI43" i="83"/>
  <c r="AH43" i="83"/>
  <c r="AF43" i="83"/>
  <c r="AE43" i="83"/>
  <c r="AC43" i="83"/>
  <c r="AB43" i="83"/>
  <c r="AA43" i="83"/>
  <c r="Z43" i="83"/>
  <c r="X43" i="83"/>
  <c r="W43" i="83"/>
  <c r="V43" i="83"/>
  <c r="DH42" i="83"/>
  <c r="DK42" i="83" s="1"/>
  <c r="DG42" i="83"/>
  <c r="DJ42" i="83" s="1"/>
  <c r="DF42" i="83"/>
  <c r="DI42" i="83" s="1"/>
  <c r="BZ42" i="83"/>
  <c r="BY42" i="83"/>
  <c r="BX42" i="83"/>
  <c r="BW42" i="83"/>
  <c r="BV42" i="83"/>
  <c r="BU42" i="83"/>
  <c r="BT42" i="83"/>
  <c r="BS42" i="83"/>
  <c r="BR42" i="83"/>
  <c r="BP42" i="83"/>
  <c r="AI42" i="83"/>
  <c r="AH42" i="83"/>
  <c r="AG42" i="83"/>
  <c r="AF42" i="83"/>
  <c r="AE42" i="83"/>
  <c r="AD42" i="83"/>
  <c r="AC42" i="83"/>
  <c r="AB42" i="83"/>
  <c r="AA42" i="83"/>
  <c r="Z42" i="83"/>
  <c r="X42" i="83"/>
  <c r="W42" i="83"/>
  <c r="V42" i="83"/>
  <c r="DH41" i="83"/>
  <c r="DK41" i="83" s="1"/>
  <c r="DG41" i="83"/>
  <c r="DJ41" i="83" s="1"/>
  <c r="DF41" i="83"/>
  <c r="DI41" i="83" s="1"/>
  <c r="BZ41" i="83"/>
  <c r="BY41" i="83"/>
  <c r="BW41" i="83"/>
  <c r="BV41" i="83"/>
  <c r="BU41" i="83"/>
  <c r="BT41" i="83"/>
  <c r="BS41" i="83"/>
  <c r="BR41" i="83"/>
  <c r="BP41" i="83"/>
  <c r="AI41" i="83"/>
  <c r="AH41" i="83"/>
  <c r="AF41" i="83"/>
  <c r="AE41" i="83"/>
  <c r="AD41" i="83"/>
  <c r="AC41" i="83"/>
  <c r="AB41" i="83"/>
  <c r="AA41" i="83"/>
  <c r="Z41" i="83"/>
  <c r="X41" i="83"/>
  <c r="W41" i="83"/>
  <c r="V41" i="83"/>
  <c r="DH40" i="83"/>
  <c r="DK40" i="83" s="1"/>
  <c r="DG40" i="83"/>
  <c r="DJ40" i="83" s="1"/>
  <c r="DF40" i="83"/>
  <c r="DI40" i="83" s="1"/>
  <c r="BZ40" i="83"/>
  <c r="BY40" i="83"/>
  <c r="BW40" i="83"/>
  <c r="BV40" i="83"/>
  <c r="BU40" i="83"/>
  <c r="BT40" i="83"/>
  <c r="BS40" i="83"/>
  <c r="BR40" i="83"/>
  <c r="BP40" i="83"/>
  <c r="AI40" i="83"/>
  <c r="AH40" i="83"/>
  <c r="AF40" i="83"/>
  <c r="AE40" i="83"/>
  <c r="AD40" i="83"/>
  <c r="AC40" i="83"/>
  <c r="AB40" i="83"/>
  <c r="AA40" i="83"/>
  <c r="Z40" i="83"/>
  <c r="X40" i="83"/>
  <c r="W40" i="83"/>
  <c r="V40" i="83"/>
  <c r="DH39" i="83"/>
  <c r="DK39" i="83" s="1"/>
  <c r="DG39" i="83"/>
  <c r="DJ39" i="83" s="1"/>
  <c r="DF39" i="83"/>
  <c r="DI39" i="83" s="1"/>
  <c r="BZ39" i="83"/>
  <c r="BY39" i="83"/>
  <c r="BX39" i="83"/>
  <c r="BW39" i="83"/>
  <c r="BV39" i="83"/>
  <c r="BU39" i="83"/>
  <c r="BT39" i="83"/>
  <c r="BS39" i="83"/>
  <c r="BR39" i="83"/>
  <c r="BP39" i="83"/>
  <c r="AI39" i="83"/>
  <c r="AH39" i="83"/>
  <c r="AG39" i="83"/>
  <c r="AF39" i="83"/>
  <c r="AE39" i="83"/>
  <c r="AD39" i="83"/>
  <c r="AC39" i="83"/>
  <c r="AB39" i="83"/>
  <c r="AA39" i="83"/>
  <c r="Z39" i="83"/>
  <c r="X39" i="83"/>
  <c r="W39" i="83"/>
  <c r="V39" i="83"/>
  <c r="DH38" i="83"/>
  <c r="DK38" i="83" s="1"/>
  <c r="DG38" i="83"/>
  <c r="DJ38" i="83" s="1"/>
  <c r="DF38" i="83"/>
  <c r="DI38" i="83" s="1"/>
  <c r="BZ38" i="83"/>
  <c r="BY38" i="83"/>
  <c r="BX38" i="83"/>
  <c r="BW38" i="83"/>
  <c r="BV38" i="83"/>
  <c r="BU38" i="83"/>
  <c r="BT38" i="83"/>
  <c r="BS38" i="83"/>
  <c r="BR38" i="83"/>
  <c r="BP38" i="83"/>
  <c r="AI38" i="83"/>
  <c r="AH38" i="83"/>
  <c r="AG38" i="83"/>
  <c r="AF38" i="83"/>
  <c r="AE38" i="83"/>
  <c r="AD38" i="83"/>
  <c r="AC38" i="83"/>
  <c r="AB38" i="83"/>
  <c r="AA38" i="83"/>
  <c r="Z38" i="83"/>
  <c r="X38" i="83"/>
  <c r="W38" i="83"/>
  <c r="V38" i="83"/>
  <c r="DH37" i="83"/>
  <c r="DK37" i="83" s="1"/>
  <c r="DG37" i="83"/>
  <c r="DJ37" i="83" s="1"/>
  <c r="DF37" i="83"/>
  <c r="DI37" i="83" s="1"/>
  <c r="BZ37" i="83"/>
  <c r="BY37" i="83"/>
  <c r="BX37" i="83"/>
  <c r="BW37" i="83"/>
  <c r="BV37" i="83"/>
  <c r="BU37" i="83"/>
  <c r="BT37" i="83"/>
  <c r="BS37" i="83"/>
  <c r="BR37" i="83"/>
  <c r="BP37" i="83"/>
  <c r="AI37" i="83"/>
  <c r="AH37" i="83"/>
  <c r="AG37" i="83"/>
  <c r="AF37" i="83"/>
  <c r="AE37" i="83"/>
  <c r="AD37" i="83"/>
  <c r="AC37" i="83"/>
  <c r="AB37" i="83"/>
  <c r="AA37" i="83"/>
  <c r="Z37" i="83"/>
  <c r="X37" i="83"/>
  <c r="W37" i="83"/>
  <c r="V37" i="83"/>
  <c r="DH36" i="83"/>
  <c r="DK36" i="83" s="1"/>
  <c r="DG36" i="83"/>
  <c r="DJ36" i="83" s="1"/>
  <c r="DF36" i="83"/>
  <c r="DI36" i="83" s="1"/>
  <c r="BZ36" i="83"/>
  <c r="BY36" i="83"/>
  <c r="BU36" i="83"/>
  <c r="BT36" i="83"/>
  <c r="BS36" i="83"/>
  <c r="BR36" i="83"/>
  <c r="BP36" i="83"/>
  <c r="AI36" i="83"/>
  <c r="AH36" i="83"/>
  <c r="AD36" i="83"/>
  <c r="AC36" i="83"/>
  <c r="AB36" i="83"/>
  <c r="AA36" i="83"/>
  <c r="Z36" i="83"/>
  <c r="X36" i="83"/>
  <c r="W36" i="83"/>
  <c r="V36" i="83"/>
  <c r="DH35" i="83"/>
  <c r="DK35" i="83" s="1"/>
  <c r="DG35" i="83"/>
  <c r="DJ35" i="83" s="1"/>
  <c r="DF35" i="83"/>
  <c r="DI35" i="83" s="1"/>
  <c r="BZ35" i="83"/>
  <c r="BY35" i="83"/>
  <c r="BX35" i="83"/>
  <c r="BW35" i="83"/>
  <c r="BV35" i="83"/>
  <c r="BU35" i="83"/>
  <c r="BT35" i="83"/>
  <c r="BS35" i="83"/>
  <c r="BR35" i="83"/>
  <c r="BP35" i="83"/>
  <c r="AI35" i="83"/>
  <c r="AH35" i="83"/>
  <c r="AG35" i="83"/>
  <c r="AF35" i="83"/>
  <c r="AE35" i="83"/>
  <c r="AD35" i="83"/>
  <c r="AC35" i="83"/>
  <c r="AB35" i="83"/>
  <c r="AA35" i="83"/>
  <c r="Z35" i="83"/>
  <c r="X35" i="83"/>
  <c r="W35" i="83"/>
  <c r="V35" i="83"/>
  <c r="DH34" i="83"/>
  <c r="DK34" i="83" s="1"/>
  <c r="DG34" i="83"/>
  <c r="DJ34" i="83" s="1"/>
  <c r="DF34" i="83"/>
  <c r="DI34" i="83" s="1"/>
  <c r="BZ34" i="83"/>
  <c r="BY34" i="83"/>
  <c r="BX34" i="83"/>
  <c r="BV34" i="83"/>
  <c r="BU34" i="83"/>
  <c r="BT34" i="83"/>
  <c r="BS34" i="83"/>
  <c r="BR34" i="83"/>
  <c r="BP34" i="83"/>
  <c r="AI34" i="83"/>
  <c r="AH34" i="83"/>
  <c r="AG34" i="83"/>
  <c r="AE34" i="83"/>
  <c r="AD34" i="83"/>
  <c r="AC34" i="83"/>
  <c r="AB34" i="83"/>
  <c r="AA34" i="83"/>
  <c r="Z34" i="83"/>
  <c r="X34" i="83"/>
  <c r="W34" i="83"/>
  <c r="V34" i="83"/>
  <c r="DH33" i="83"/>
  <c r="DK33" i="83" s="1"/>
  <c r="DG33" i="83"/>
  <c r="DJ33" i="83" s="1"/>
  <c r="DF33" i="83"/>
  <c r="DI33" i="83" s="1"/>
  <c r="BZ33" i="83"/>
  <c r="BY33" i="83"/>
  <c r="BX33" i="83"/>
  <c r="BV33" i="83"/>
  <c r="BU33" i="83"/>
  <c r="BT33" i="83"/>
  <c r="BS33" i="83"/>
  <c r="BR33" i="83"/>
  <c r="BP33" i="83"/>
  <c r="AI33" i="83"/>
  <c r="AH33" i="83"/>
  <c r="AG33" i="83"/>
  <c r="AE33" i="83"/>
  <c r="AD33" i="83"/>
  <c r="AC33" i="83"/>
  <c r="AB33" i="83"/>
  <c r="AA33" i="83"/>
  <c r="Z33" i="83"/>
  <c r="X33" i="83"/>
  <c r="W33" i="83"/>
  <c r="V33" i="83"/>
  <c r="DH32" i="83"/>
  <c r="DK32" i="83" s="1"/>
  <c r="DG32" i="83"/>
  <c r="DJ32" i="83" s="1"/>
  <c r="DF32" i="83"/>
  <c r="DI32" i="83" s="1"/>
  <c r="BZ32" i="83"/>
  <c r="BY32" i="83"/>
  <c r="BX32" i="83"/>
  <c r="BW32" i="83"/>
  <c r="BV32" i="83"/>
  <c r="BU32" i="83"/>
  <c r="BT32" i="83"/>
  <c r="BS32" i="83"/>
  <c r="BR32" i="83"/>
  <c r="BP32" i="83"/>
  <c r="AI32" i="83"/>
  <c r="AH32" i="83"/>
  <c r="AG32" i="83"/>
  <c r="AF32" i="83"/>
  <c r="AE32" i="83"/>
  <c r="AD32" i="83"/>
  <c r="AC32" i="83"/>
  <c r="AB32" i="83"/>
  <c r="AA32" i="83"/>
  <c r="Z32" i="83"/>
  <c r="X32" i="83"/>
  <c r="W32" i="83"/>
  <c r="V32" i="83"/>
  <c r="DH31" i="83"/>
  <c r="DK31" i="83" s="1"/>
  <c r="DG31" i="83"/>
  <c r="DJ31" i="83" s="1"/>
  <c r="DF31" i="83"/>
  <c r="DI31" i="83" s="1"/>
  <c r="BZ31" i="83"/>
  <c r="BY31" i="83"/>
  <c r="BX31" i="83"/>
  <c r="BW31" i="83"/>
  <c r="BV31" i="83"/>
  <c r="BU31" i="83"/>
  <c r="BT31" i="83"/>
  <c r="BS31" i="83"/>
  <c r="BR31" i="83"/>
  <c r="BP31" i="83"/>
  <c r="AI31" i="83"/>
  <c r="AH31" i="83"/>
  <c r="AG31" i="83"/>
  <c r="AF31" i="83"/>
  <c r="AE31" i="83"/>
  <c r="AD31" i="83"/>
  <c r="AC31" i="83"/>
  <c r="AB31" i="83"/>
  <c r="AA31" i="83"/>
  <c r="Z31" i="83"/>
  <c r="X31" i="83"/>
  <c r="W31" i="83"/>
  <c r="V31" i="83"/>
  <c r="DH30" i="83"/>
  <c r="DK30" i="83" s="1"/>
  <c r="DG30" i="83"/>
  <c r="DJ30" i="83" s="1"/>
  <c r="DF30" i="83"/>
  <c r="DI30" i="83" s="1"/>
  <c r="BZ30" i="83"/>
  <c r="BY30" i="83"/>
  <c r="BX30" i="83"/>
  <c r="BW30" i="83"/>
  <c r="BV30" i="83"/>
  <c r="BU30" i="83"/>
  <c r="BT30" i="83"/>
  <c r="BS30" i="83"/>
  <c r="BR30" i="83"/>
  <c r="BP30" i="83"/>
  <c r="AI30" i="83"/>
  <c r="AH30" i="83"/>
  <c r="AG30" i="83"/>
  <c r="AF30" i="83"/>
  <c r="AE30" i="83"/>
  <c r="AD30" i="83"/>
  <c r="AC30" i="83"/>
  <c r="AB30" i="83"/>
  <c r="AA30" i="83"/>
  <c r="Z30" i="83"/>
  <c r="X30" i="83"/>
  <c r="W30" i="83"/>
  <c r="V30" i="83"/>
  <c r="DH29" i="83"/>
  <c r="DK29" i="83" s="1"/>
  <c r="DG29" i="83"/>
  <c r="DJ29" i="83" s="1"/>
  <c r="DF29" i="83"/>
  <c r="DI29" i="83" s="1"/>
  <c r="BZ29" i="83"/>
  <c r="BY29" i="83"/>
  <c r="BX29" i="83"/>
  <c r="BT29" i="83"/>
  <c r="BS29" i="83"/>
  <c r="BR29" i="83"/>
  <c r="BP29" i="83"/>
  <c r="AI29" i="83"/>
  <c r="AH29" i="83"/>
  <c r="AG29" i="83"/>
  <c r="AC29" i="83"/>
  <c r="AB29" i="83"/>
  <c r="AA29" i="83"/>
  <c r="Z29" i="83"/>
  <c r="X29" i="83"/>
  <c r="W29" i="83"/>
  <c r="V29" i="83"/>
  <c r="DH28" i="83"/>
  <c r="DK28" i="83" s="1"/>
  <c r="DG28" i="83"/>
  <c r="DJ28" i="83" s="1"/>
  <c r="DF28" i="83"/>
  <c r="DI28" i="83" s="1"/>
  <c r="BZ28" i="83"/>
  <c r="BY28" i="83"/>
  <c r="BX28" i="83"/>
  <c r="BW28" i="83"/>
  <c r="BV28" i="83"/>
  <c r="BU28" i="83"/>
  <c r="BT28" i="83"/>
  <c r="BS28" i="83"/>
  <c r="BR28" i="83"/>
  <c r="BP28" i="83"/>
  <c r="AI28" i="83"/>
  <c r="AH28" i="83"/>
  <c r="AG28" i="83"/>
  <c r="AF28" i="83"/>
  <c r="AE28" i="83"/>
  <c r="AD28" i="83"/>
  <c r="AC28" i="83"/>
  <c r="AB28" i="83"/>
  <c r="AA28" i="83"/>
  <c r="Z28" i="83"/>
  <c r="X28" i="83"/>
  <c r="W28" i="83"/>
  <c r="V28" i="83"/>
  <c r="DH27" i="83"/>
  <c r="DK27" i="83" s="1"/>
  <c r="DG27" i="83"/>
  <c r="DJ27" i="83" s="1"/>
  <c r="DF27" i="83"/>
  <c r="DI27" i="83" s="1"/>
  <c r="BZ27" i="83"/>
  <c r="BY27" i="83"/>
  <c r="BX27" i="83"/>
  <c r="BW27" i="83"/>
  <c r="BU27" i="83"/>
  <c r="BT27" i="83"/>
  <c r="BS27" i="83"/>
  <c r="BR27" i="83"/>
  <c r="BP27" i="83"/>
  <c r="AI27" i="83"/>
  <c r="AH27" i="83"/>
  <c r="AG27" i="83"/>
  <c r="AF27" i="83"/>
  <c r="AD27" i="83"/>
  <c r="AC27" i="83"/>
  <c r="AB27" i="83"/>
  <c r="AA27" i="83"/>
  <c r="Z27" i="83"/>
  <c r="X27" i="83"/>
  <c r="W27" i="83"/>
  <c r="V27" i="83"/>
  <c r="DH26" i="83"/>
  <c r="DK26" i="83" s="1"/>
  <c r="DG26" i="83"/>
  <c r="DJ26" i="83" s="1"/>
  <c r="DF26" i="83"/>
  <c r="DI26" i="83" s="1"/>
  <c r="BZ26" i="83"/>
  <c r="BY26" i="83"/>
  <c r="BX26" i="83"/>
  <c r="BW26" i="83"/>
  <c r="BU26" i="83"/>
  <c r="BT26" i="83"/>
  <c r="BS26" i="83"/>
  <c r="BR26" i="83"/>
  <c r="BP26" i="83"/>
  <c r="AI26" i="83"/>
  <c r="AH26" i="83"/>
  <c r="AG26" i="83"/>
  <c r="AF26" i="83"/>
  <c r="AD26" i="83"/>
  <c r="AC26" i="83"/>
  <c r="AB26" i="83"/>
  <c r="AA26" i="83"/>
  <c r="Z26" i="83"/>
  <c r="X26" i="83"/>
  <c r="W26" i="83"/>
  <c r="V26" i="83"/>
  <c r="DH25" i="83"/>
  <c r="DK25" i="83" s="1"/>
  <c r="DG25" i="83"/>
  <c r="DJ25" i="83" s="1"/>
  <c r="DF25" i="83"/>
  <c r="DI25" i="83" s="1"/>
  <c r="BZ25" i="83"/>
  <c r="BY25" i="83"/>
  <c r="BX25" i="83"/>
  <c r="BW25" i="83"/>
  <c r="BV25" i="83"/>
  <c r="BU25" i="83"/>
  <c r="BT25" i="83"/>
  <c r="BS25" i="83"/>
  <c r="BR25" i="83"/>
  <c r="BP25" i="83"/>
  <c r="AI25" i="83"/>
  <c r="AH25" i="83"/>
  <c r="AG25" i="83"/>
  <c r="AF25" i="83"/>
  <c r="AE25" i="83"/>
  <c r="AD25" i="83"/>
  <c r="AC25" i="83"/>
  <c r="AB25" i="83"/>
  <c r="AA25" i="83"/>
  <c r="Z25" i="83"/>
  <c r="X25" i="83"/>
  <c r="W25" i="83"/>
  <c r="V25" i="83"/>
  <c r="DH24" i="83"/>
  <c r="DK24" i="83" s="1"/>
  <c r="DG24" i="83"/>
  <c r="DJ24" i="83" s="1"/>
  <c r="DF24" i="83"/>
  <c r="DI24" i="83" s="1"/>
  <c r="BZ24" i="83"/>
  <c r="BY24" i="83"/>
  <c r="BX24" i="83"/>
  <c r="BW24" i="83"/>
  <c r="BV24" i="83"/>
  <c r="BU24" i="83"/>
  <c r="BT24" i="83"/>
  <c r="BS24" i="83"/>
  <c r="BR24" i="83"/>
  <c r="BP24" i="83"/>
  <c r="AI24" i="83"/>
  <c r="AH24" i="83"/>
  <c r="AG24" i="83"/>
  <c r="AF24" i="83"/>
  <c r="AE24" i="83"/>
  <c r="AD24" i="83"/>
  <c r="AC24" i="83"/>
  <c r="AB24" i="83"/>
  <c r="AA24" i="83"/>
  <c r="Z24" i="83"/>
  <c r="X24" i="83"/>
  <c r="W24" i="83"/>
  <c r="V24" i="83"/>
  <c r="DH23" i="83"/>
  <c r="DK23" i="83" s="1"/>
  <c r="DG23" i="83"/>
  <c r="DJ23" i="83" s="1"/>
  <c r="DF23" i="83"/>
  <c r="DI23" i="83" s="1"/>
  <c r="BZ23" i="83"/>
  <c r="BY23" i="83"/>
  <c r="BX23" i="83"/>
  <c r="BW23" i="83"/>
  <c r="BV23" i="83"/>
  <c r="BU23" i="83"/>
  <c r="BT23" i="83"/>
  <c r="BS23" i="83"/>
  <c r="BR23" i="83"/>
  <c r="BP23" i="83"/>
  <c r="AI23" i="83"/>
  <c r="AH23" i="83"/>
  <c r="AG23" i="83"/>
  <c r="AF23" i="83"/>
  <c r="AE23" i="83"/>
  <c r="AD23" i="83"/>
  <c r="AC23" i="83"/>
  <c r="AB23" i="83"/>
  <c r="AA23" i="83"/>
  <c r="Z23" i="83"/>
  <c r="X23" i="83"/>
  <c r="W23" i="83"/>
  <c r="V23" i="83"/>
  <c r="DH22" i="83"/>
  <c r="DK22" i="83" s="1"/>
  <c r="DG22" i="83"/>
  <c r="DJ22" i="83" s="1"/>
  <c r="DF22" i="83"/>
  <c r="DI22" i="83" s="1"/>
  <c r="BZ22" i="83"/>
  <c r="BY22" i="83"/>
  <c r="BX22" i="83"/>
  <c r="BW22" i="83"/>
  <c r="BT22" i="83"/>
  <c r="BS22" i="83"/>
  <c r="BR22" i="83"/>
  <c r="BP22" i="83"/>
  <c r="AI22" i="83"/>
  <c r="AH22" i="83"/>
  <c r="AG22" i="83"/>
  <c r="AF22" i="83"/>
  <c r="AC22" i="83"/>
  <c r="AB22" i="83"/>
  <c r="AA22" i="83"/>
  <c r="Z22" i="83"/>
  <c r="X22" i="83"/>
  <c r="DH21" i="83"/>
  <c r="DK21" i="83" s="1"/>
  <c r="DG21" i="83"/>
  <c r="DJ21" i="83" s="1"/>
  <c r="DF21" i="83"/>
  <c r="DI21" i="83" s="1"/>
  <c r="BZ21" i="83"/>
  <c r="BY21" i="83"/>
  <c r="BX21" i="83"/>
  <c r="BW21" i="83"/>
  <c r="BV21" i="83"/>
  <c r="BU21" i="83"/>
  <c r="BT21" i="83"/>
  <c r="BS21" i="83"/>
  <c r="BR21" i="83"/>
  <c r="BP21" i="83"/>
  <c r="AI21" i="83"/>
  <c r="AH21" i="83"/>
  <c r="AG21" i="83"/>
  <c r="AF21" i="83"/>
  <c r="AE21" i="83"/>
  <c r="AD21" i="83"/>
  <c r="AC21" i="83"/>
  <c r="AB21" i="83"/>
  <c r="AA21" i="83"/>
  <c r="Z21" i="83"/>
  <c r="X21" i="83"/>
  <c r="W21" i="83"/>
  <c r="V21" i="83"/>
  <c r="DH20" i="83"/>
  <c r="DK20" i="83" s="1"/>
  <c r="DG20" i="83"/>
  <c r="DJ20" i="83" s="1"/>
  <c r="DF20" i="83"/>
  <c r="DI20" i="83" s="1"/>
  <c r="BZ20" i="83"/>
  <c r="BY20" i="83"/>
  <c r="BX20" i="83"/>
  <c r="BW20" i="83"/>
  <c r="BV20" i="83"/>
  <c r="BT20" i="83"/>
  <c r="BS20" i="83"/>
  <c r="BR20" i="83"/>
  <c r="BP20" i="83"/>
  <c r="AI20" i="83"/>
  <c r="AH20" i="83"/>
  <c r="AG20" i="83"/>
  <c r="AF20" i="83"/>
  <c r="AE20" i="83"/>
  <c r="AC20" i="83"/>
  <c r="AB20" i="83"/>
  <c r="AA20" i="83"/>
  <c r="Z20" i="83"/>
  <c r="X20" i="83"/>
  <c r="W20" i="83"/>
  <c r="V20" i="83"/>
  <c r="DH19" i="83"/>
  <c r="DK19" i="83" s="1"/>
  <c r="DG19" i="83"/>
  <c r="DJ19" i="83" s="1"/>
  <c r="DF19" i="83"/>
  <c r="DI19" i="83" s="1"/>
  <c r="BZ19" i="83"/>
  <c r="BY19" i="83"/>
  <c r="BX19" i="83"/>
  <c r="BW19" i="83"/>
  <c r="BV19" i="83"/>
  <c r="BT19" i="83"/>
  <c r="BS19" i="83"/>
  <c r="BR19" i="83"/>
  <c r="BP19" i="83"/>
  <c r="AI19" i="83"/>
  <c r="AH19" i="83"/>
  <c r="AG19" i="83"/>
  <c r="AF19" i="83"/>
  <c r="AE19" i="83"/>
  <c r="AC19" i="83"/>
  <c r="AB19" i="83"/>
  <c r="AA19" i="83"/>
  <c r="Z19" i="83"/>
  <c r="X19" i="83"/>
  <c r="W19" i="83"/>
  <c r="V19" i="83"/>
  <c r="DH18" i="83"/>
  <c r="DK18" i="83" s="1"/>
  <c r="DG18" i="83"/>
  <c r="DJ18" i="83" s="1"/>
  <c r="DF18" i="83"/>
  <c r="DI18" i="83" s="1"/>
  <c r="BZ18" i="83"/>
  <c r="BY18" i="83"/>
  <c r="BX18" i="83"/>
  <c r="BV18" i="83"/>
  <c r="BU18" i="83"/>
  <c r="BT18" i="83"/>
  <c r="BS18" i="83"/>
  <c r="BR18" i="83"/>
  <c r="BP18" i="83"/>
  <c r="AI18" i="83"/>
  <c r="AH18" i="83"/>
  <c r="AG18" i="83"/>
  <c r="AE18" i="83"/>
  <c r="AD18" i="83"/>
  <c r="AC18" i="83"/>
  <c r="AB18" i="83"/>
  <c r="AA18" i="83"/>
  <c r="Z18" i="83"/>
  <c r="X18" i="83"/>
  <c r="W18" i="83"/>
  <c r="V18" i="83"/>
  <c r="DH17" i="83"/>
  <c r="DK17" i="83" s="1"/>
  <c r="DG17" i="83"/>
  <c r="DJ17" i="83" s="1"/>
  <c r="DF17" i="83"/>
  <c r="DI17" i="83" s="1"/>
  <c r="BZ17" i="83"/>
  <c r="BY17" i="83"/>
  <c r="BX17" i="83"/>
  <c r="BW17" i="83"/>
  <c r="BV17" i="83"/>
  <c r="BU17" i="83"/>
  <c r="BT17" i="83"/>
  <c r="BS17" i="83"/>
  <c r="BR17" i="83"/>
  <c r="BP17" i="83"/>
  <c r="AI17" i="83"/>
  <c r="AH17" i="83"/>
  <c r="AG17" i="83"/>
  <c r="AF17" i="83"/>
  <c r="AE17" i="83"/>
  <c r="AD17" i="83"/>
  <c r="AC17" i="83"/>
  <c r="AB17" i="83"/>
  <c r="AA17" i="83"/>
  <c r="Z17" i="83"/>
  <c r="X17" i="83"/>
  <c r="W17" i="83"/>
  <c r="V17" i="83"/>
  <c r="DH16" i="83"/>
  <c r="DK16" i="83" s="1"/>
  <c r="DG16" i="83"/>
  <c r="DJ16" i="83" s="1"/>
  <c r="DF16" i="83"/>
  <c r="DI16" i="83" s="1"/>
  <c r="BZ16" i="83"/>
  <c r="BY16" i="83"/>
  <c r="BX16" i="83"/>
  <c r="BW16" i="83"/>
  <c r="BV16" i="83"/>
  <c r="BU16" i="83"/>
  <c r="BT16" i="83"/>
  <c r="BS16" i="83"/>
  <c r="BR16" i="83"/>
  <c r="BP16" i="83"/>
  <c r="AI16" i="83"/>
  <c r="AH16" i="83"/>
  <c r="AG16" i="83"/>
  <c r="AF16" i="83"/>
  <c r="AE16" i="83"/>
  <c r="AD16" i="83"/>
  <c r="AC16" i="83"/>
  <c r="AB16" i="83"/>
  <c r="AA16" i="83"/>
  <c r="Z16" i="83"/>
  <c r="X16" i="83"/>
  <c r="W16" i="83"/>
  <c r="V16" i="83"/>
  <c r="DH15" i="83"/>
  <c r="DK15" i="83" s="1"/>
  <c r="DG15" i="83"/>
  <c r="DJ15" i="83" s="1"/>
  <c r="DF15" i="83"/>
  <c r="DI15" i="83" s="1"/>
  <c r="BZ15" i="83"/>
  <c r="BY15" i="83"/>
  <c r="BW15" i="83"/>
  <c r="BV15" i="83"/>
  <c r="BT15" i="83"/>
  <c r="BS15" i="83"/>
  <c r="BR15" i="83"/>
  <c r="BP15" i="83"/>
  <c r="AI15" i="83"/>
  <c r="AH15" i="83"/>
  <c r="AF15" i="83"/>
  <c r="AE15" i="83"/>
  <c r="AC15" i="83"/>
  <c r="AB15" i="83"/>
  <c r="AA15" i="83"/>
  <c r="Z15" i="83"/>
  <c r="X15" i="83"/>
  <c r="W15" i="83"/>
  <c r="V15" i="83"/>
  <c r="A15" i="83"/>
  <c r="A11" i="83"/>
  <c r="A1" i="83"/>
  <c r="A16" i="41"/>
  <c r="U62" i="41"/>
  <c r="U48" i="83" s="1"/>
  <c r="T62" i="41"/>
  <c r="T48" i="83" s="1"/>
  <c r="T56" i="83" s="1"/>
  <c r="T49" i="84" s="1"/>
  <c r="T57" i="84" s="1"/>
  <c r="T48" i="85" s="1"/>
  <c r="T56" i="85" s="1"/>
  <c r="T49" i="86" s="1"/>
  <c r="T57" i="86" s="1"/>
  <c r="T49" i="87" s="1"/>
  <c r="T57" i="87" s="1"/>
  <c r="T47" i="88" s="1"/>
  <c r="T55" i="88" s="1"/>
  <c r="T49" i="89" s="1"/>
  <c r="T57" i="89" s="1"/>
  <c r="T48" i="90" s="1"/>
  <c r="T56" i="90" s="1"/>
  <c r="T49" i="91" s="1"/>
  <c r="T57" i="91" s="1"/>
  <c r="T48" i="92" s="1"/>
  <c r="T56" i="92" s="1"/>
  <c r="T49" i="93" s="1"/>
  <c r="T57" i="93" s="1"/>
  <c r="BR21" i="41"/>
  <c r="BR22" i="41"/>
  <c r="BR23" i="41"/>
  <c r="BR24" i="41"/>
  <c r="BR25" i="41"/>
  <c r="BR26" i="41"/>
  <c r="BR27" i="41"/>
  <c r="BR28" i="41"/>
  <c r="BR29" i="41"/>
  <c r="BR30" i="41"/>
  <c r="BR31" i="41"/>
  <c r="BR32" i="41"/>
  <c r="BR33" i="41"/>
  <c r="BR34" i="41"/>
  <c r="BR35" i="41"/>
  <c r="BR36" i="41"/>
  <c r="BR37" i="41"/>
  <c r="BR38" i="41"/>
  <c r="BR39" i="41"/>
  <c r="BR40" i="41"/>
  <c r="BR41" i="41"/>
  <c r="BR42" i="41"/>
  <c r="BR43" i="41"/>
  <c r="BR44" i="41"/>
  <c r="BR45" i="41"/>
  <c r="BR46" i="41"/>
  <c r="BR47" i="41"/>
  <c r="BR48" i="41"/>
  <c r="BR49" i="41"/>
  <c r="BR50" i="41"/>
  <c r="BR20" i="41"/>
  <c r="Z20" i="41"/>
  <c r="DL44" i="88" l="1"/>
  <c r="B11" i="95"/>
  <c r="BF22" i="43"/>
  <c r="B18" i="96"/>
  <c r="BT29" i="43"/>
  <c r="BU29" i="43" s="1"/>
  <c r="H52" i="92"/>
  <c r="H51" i="88"/>
  <c r="H52" i="85"/>
  <c r="H53" i="87"/>
  <c r="H53" i="91"/>
  <c r="H52" i="83"/>
  <c r="H53" i="84"/>
  <c r="H53" i="86"/>
  <c r="H53" i="89"/>
  <c r="H53" i="93"/>
  <c r="H52" i="90"/>
  <c r="DL40" i="87"/>
  <c r="AC28" i="24" s="1"/>
  <c r="DL39" i="93"/>
  <c r="AC27" i="25" s="1"/>
  <c r="DL43" i="93"/>
  <c r="AC31" i="25" s="1"/>
  <c r="DL35" i="85"/>
  <c r="S23" i="24" s="1"/>
  <c r="DL46" i="86"/>
  <c r="DL35" i="93"/>
  <c r="AC23" i="25" s="1"/>
  <c r="A16" i="93"/>
  <c r="B16" i="93" s="1"/>
  <c r="AS3" i="23"/>
  <c r="Z3" i="25"/>
  <c r="U3" i="25"/>
  <c r="AO3" i="23"/>
  <c r="DL19" i="92"/>
  <c r="X7" i="25" s="1"/>
  <c r="I55" i="92"/>
  <c r="B15" i="91"/>
  <c r="AK3" i="23"/>
  <c r="P3" i="25"/>
  <c r="DL23" i="90"/>
  <c r="N11" i="25" s="1"/>
  <c r="DL24" i="90"/>
  <c r="N12" i="25" s="1"/>
  <c r="DL34" i="90"/>
  <c r="N22" i="25" s="1"/>
  <c r="B15" i="89"/>
  <c r="F3" i="25"/>
  <c r="AC3" i="23"/>
  <c r="A16" i="87"/>
  <c r="B16" i="87" s="1"/>
  <c r="U3" i="23"/>
  <c r="Z3" i="24"/>
  <c r="A16" i="86"/>
  <c r="B16" i="86" s="1"/>
  <c r="Q3" i="23"/>
  <c r="U3" i="24"/>
  <c r="B15" i="85"/>
  <c r="P3" i="24"/>
  <c r="M3" i="23"/>
  <c r="DL19" i="85"/>
  <c r="S7" i="24" s="1"/>
  <c r="DL16" i="84"/>
  <c r="N4" i="24" s="1"/>
  <c r="DL23" i="84"/>
  <c r="N11" i="24" s="1"/>
  <c r="B15" i="84"/>
  <c r="K3" i="24"/>
  <c r="I3" i="23"/>
  <c r="B15" i="83"/>
  <c r="F3" i="24"/>
  <c r="I56" i="93"/>
  <c r="DL35" i="91"/>
  <c r="S23" i="25" s="1"/>
  <c r="I56" i="91"/>
  <c r="I55" i="90"/>
  <c r="I56" i="89"/>
  <c r="I54" i="88"/>
  <c r="I56" i="87"/>
  <c r="I56" i="86"/>
  <c r="I56" i="84"/>
  <c r="I55" i="83"/>
  <c r="AR21" i="43"/>
  <c r="B10" i="48"/>
  <c r="AD21" i="43"/>
  <c r="B10" i="49"/>
  <c r="P21" i="43"/>
  <c r="B10" i="47"/>
  <c r="I55" i="85"/>
  <c r="DL21" i="92"/>
  <c r="X9" i="25" s="1"/>
  <c r="DL31" i="90"/>
  <c r="N19" i="25" s="1"/>
  <c r="DL41" i="90"/>
  <c r="N29" i="25" s="1"/>
  <c r="A16" i="90"/>
  <c r="B16" i="90" s="1"/>
  <c r="AG3" i="23"/>
  <c r="K3" i="25"/>
  <c r="Y3" i="23"/>
  <c r="A3" i="25"/>
  <c r="BR46" i="87"/>
  <c r="AI46" i="89"/>
  <c r="AI44" i="88"/>
  <c r="AH46" i="87"/>
  <c r="AI46" i="84"/>
  <c r="AI45" i="85"/>
  <c r="AH45" i="90"/>
  <c r="AI46" i="93"/>
  <c r="AH45" i="83"/>
  <c r="AH46" i="86"/>
  <c r="AI45" i="90"/>
  <c r="AH45" i="92"/>
  <c r="AI45" i="83"/>
  <c r="AI46" i="86"/>
  <c r="AI45" i="92"/>
  <c r="AH46" i="84"/>
  <c r="AH46" i="89"/>
  <c r="AI46" i="87"/>
  <c r="AH46" i="91"/>
  <c r="AH45" i="85"/>
  <c r="AH44" i="88"/>
  <c r="AI46" i="91"/>
  <c r="AH46" i="93"/>
  <c r="I50" i="85"/>
  <c r="G37" i="23"/>
  <c r="I51" i="86"/>
  <c r="I50" i="83"/>
  <c r="E3" i="23"/>
  <c r="DL26" i="88"/>
  <c r="D14" i="25" s="1"/>
  <c r="DL38" i="88"/>
  <c r="D26" i="25" s="1"/>
  <c r="DL28" i="88"/>
  <c r="D16" i="25" s="1"/>
  <c r="DL29" i="88"/>
  <c r="D17" i="25" s="1"/>
  <c r="I49" i="88"/>
  <c r="DL22" i="93"/>
  <c r="AC10" i="25" s="1"/>
  <c r="DL16" i="93"/>
  <c r="AC4" i="25" s="1"/>
  <c r="DL46" i="93"/>
  <c r="DL27" i="93"/>
  <c r="AC15" i="25" s="1"/>
  <c r="DL42" i="93"/>
  <c r="AC30" i="25" s="1"/>
  <c r="DL29" i="92"/>
  <c r="X17" i="25" s="1"/>
  <c r="DL24" i="92"/>
  <c r="X12" i="25" s="1"/>
  <c r="DL36" i="92"/>
  <c r="X24" i="25" s="1"/>
  <c r="DL15" i="92"/>
  <c r="X3" i="25" s="1"/>
  <c r="DL16" i="91"/>
  <c r="S4" i="25" s="1"/>
  <c r="I51" i="91"/>
  <c r="DL38" i="90"/>
  <c r="N26" i="25" s="1"/>
  <c r="I50" i="90"/>
  <c r="H48" i="88"/>
  <c r="I48" i="88" s="1"/>
  <c r="DL21" i="88"/>
  <c r="D9" i="25" s="1"/>
  <c r="DL31" i="88"/>
  <c r="D19" i="25" s="1"/>
  <c r="DL23" i="88"/>
  <c r="D11" i="25" s="1"/>
  <c r="DL43" i="88"/>
  <c r="D31" i="25" s="1"/>
  <c r="DL27" i="88"/>
  <c r="D15" i="25" s="1"/>
  <c r="DL19" i="87"/>
  <c r="AC7" i="24" s="1"/>
  <c r="DL29" i="87"/>
  <c r="AC17" i="24" s="1"/>
  <c r="DL31" i="87"/>
  <c r="AC19" i="24" s="1"/>
  <c r="DL39" i="87"/>
  <c r="AC27" i="24" s="1"/>
  <c r="DL42" i="87"/>
  <c r="AC30" i="24" s="1"/>
  <c r="DL31" i="86"/>
  <c r="X19" i="24" s="1"/>
  <c r="DL23" i="85"/>
  <c r="S11" i="24" s="1"/>
  <c r="DL31" i="85"/>
  <c r="S19" i="24" s="1"/>
  <c r="DL27" i="84"/>
  <c r="N15" i="24" s="1"/>
  <c r="DL45" i="93"/>
  <c r="AC33" i="25" s="1"/>
  <c r="I51" i="93"/>
  <c r="DL37" i="93"/>
  <c r="AC25" i="25" s="1"/>
  <c r="DL24" i="91"/>
  <c r="S12" i="25" s="1"/>
  <c r="DL28" i="91"/>
  <c r="S16" i="25" s="1"/>
  <c r="DL46" i="91"/>
  <c r="DL17" i="91"/>
  <c r="S5" i="25" s="1"/>
  <c r="DL19" i="91"/>
  <c r="S7" i="25" s="1"/>
  <c r="DL21" i="91"/>
  <c r="S9" i="25" s="1"/>
  <c r="DL36" i="89"/>
  <c r="I24" i="25" s="1"/>
  <c r="DL25" i="89"/>
  <c r="I13" i="25" s="1"/>
  <c r="DL29" i="89"/>
  <c r="I17" i="25" s="1"/>
  <c r="I51" i="89"/>
  <c r="DL40" i="89"/>
  <c r="I28" i="25" s="1"/>
  <c r="DL21" i="87"/>
  <c r="AC9" i="24" s="1"/>
  <c r="DL22" i="87"/>
  <c r="AC10" i="24" s="1"/>
  <c r="DL33" i="87"/>
  <c r="AC21" i="24" s="1"/>
  <c r="DL37" i="87"/>
  <c r="AC25" i="24" s="1"/>
  <c r="DL16" i="86"/>
  <c r="X4" i="24" s="1"/>
  <c r="DL24" i="86"/>
  <c r="X12" i="24" s="1"/>
  <c r="DL31" i="84"/>
  <c r="N19" i="24" s="1"/>
  <c r="DL46" i="84"/>
  <c r="DL20" i="84"/>
  <c r="N8" i="24" s="1"/>
  <c r="DL35" i="84"/>
  <c r="N23" i="24" s="1"/>
  <c r="DL45" i="84"/>
  <c r="N33" i="24" s="1"/>
  <c r="DL39" i="92"/>
  <c r="X27" i="25" s="1"/>
  <c r="DL16" i="92"/>
  <c r="X4" i="25" s="1"/>
  <c r="DL20" i="92"/>
  <c r="X8" i="25" s="1"/>
  <c r="DL33" i="92"/>
  <c r="X21" i="25" s="1"/>
  <c r="DL26" i="92"/>
  <c r="X14" i="25" s="1"/>
  <c r="DL43" i="92"/>
  <c r="X31" i="25" s="1"/>
  <c r="DL37" i="92"/>
  <c r="X25" i="25" s="1"/>
  <c r="DL25" i="92"/>
  <c r="X13" i="25" s="1"/>
  <c r="DL22" i="92"/>
  <c r="X10" i="25" s="1"/>
  <c r="DL34" i="92"/>
  <c r="X22" i="25" s="1"/>
  <c r="DL26" i="90"/>
  <c r="N14" i="25" s="1"/>
  <c r="DL42" i="90"/>
  <c r="N30" i="25" s="1"/>
  <c r="DL45" i="90"/>
  <c r="DL29" i="90"/>
  <c r="N17" i="25" s="1"/>
  <c r="DL32" i="90"/>
  <c r="N20" i="25" s="1"/>
  <c r="DL19" i="90"/>
  <c r="N7" i="25" s="1"/>
  <c r="DL28" i="90"/>
  <c r="N16" i="25" s="1"/>
  <c r="Z45" i="90"/>
  <c r="DL17" i="90"/>
  <c r="N5" i="25" s="1"/>
  <c r="DL33" i="90"/>
  <c r="N21" i="25" s="1"/>
  <c r="DL35" i="90"/>
  <c r="N23" i="25" s="1"/>
  <c r="DL37" i="90"/>
  <c r="N25" i="25" s="1"/>
  <c r="DL41" i="85"/>
  <c r="S29" i="24" s="1"/>
  <c r="DL18" i="85"/>
  <c r="S6" i="24" s="1"/>
  <c r="DL37" i="85"/>
  <c r="S25" i="24" s="1"/>
  <c r="DL16" i="85"/>
  <c r="S4" i="24" s="1"/>
  <c r="DL39" i="85"/>
  <c r="S27" i="24" s="1"/>
  <c r="DL43" i="85"/>
  <c r="S31" i="24" s="1"/>
  <c r="F11" i="50"/>
  <c r="U56" i="83"/>
  <c r="U49" i="84" s="1"/>
  <c r="DL41" i="92"/>
  <c r="X29" i="25" s="1"/>
  <c r="DL39" i="90"/>
  <c r="N27" i="25" s="1"/>
  <c r="DL28" i="92"/>
  <c r="X16" i="25" s="1"/>
  <c r="DL27" i="92"/>
  <c r="X15" i="25" s="1"/>
  <c r="DL22" i="85"/>
  <c r="S10" i="24" s="1"/>
  <c r="DL20" i="85"/>
  <c r="S8" i="24" s="1"/>
  <c r="BP45" i="92"/>
  <c r="DL33" i="91"/>
  <c r="S21" i="25" s="1"/>
  <c r="DL22" i="91"/>
  <c r="S10" i="25" s="1"/>
  <c r="DL15" i="90"/>
  <c r="N3" i="25" s="1"/>
  <c r="DL43" i="89"/>
  <c r="I31" i="25" s="1"/>
  <c r="DL22" i="90"/>
  <c r="N10" i="25" s="1"/>
  <c r="DL16" i="90"/>
  <c r="N4" i="25" s="1"/>
  <c r="DL20" i="89"/>
  <c r="I8" i="25" s="1"/>
  <c r="DL15" i="87"/>
  <c r="AC3" i="24" s="1"/>
  <c r="A93" i="84"/>
  <c r="DL16" i="83"/>
  <c r="I4" i="24" s="1"/>
  <c r="DL19" i="89"/>
  <c r="I7" i="25" s="1"/>
  <c r="DL34" i="89"/>
  <c r="I22" i="25" s="1"/>
  <c r="DL39" i="89"/>
  <c r="I27" i="25" s="1"/>
  <c r="DL42" i="89"/>
  <c r="I30" i="25" s="1"/>
  <c r="DL45" i="89"/>
  <c r="I33" i="25" s="1"/>
  <c r="DL46" i="89"/>
  <c r="DL35" i="89"/>
  <c r="I23" i="25" s="1"/>
  <c r="DL38" i="89"/>
  <c r="I26" i="25" s="1"/>
  <c r="DL32" i="89"/>
  <c r="I20" i="25" s="1"/>
  <c r="DL44" i="89"/>
  <c r="I32" i="25" s="1"/>
  <c r="DL21" i="89"/>
  <c r="I9" i="25" s="1"/>
  <c r="DL23" i="89"/>
  <c r="I11" i="25" s="1"/>
  <c r="DL16" i="89"/>
  <c r="I4" i="25" s="1"/>
  <c r="DL17" i="89"/>
  <c r="I5" i="25" s="1"/>
  <c r="DL28" i="89"/>
  <c r="I16" i="25" s="1"/>
  <c r="DL37" i="89"/>
  <c r="I25" i="25" s="1"/>
  <c r="DL23" i="91"/>
  <c r="S11" i="25" s="1"/>
  <c r="DL18" i="91"/>
  <c r="S6" i="25" s="1"/>
  <c r="DL34" i="91"/>
  <c r="S22" i="25" s="1"/>
  <c r="DL41" i="91"/>
  <c r="S29" i="25" s="1"/>
  <c r="DL25" i="91"/>
  <c r="S13" i="25" s="1"/>
  <c r="DL27" i="91"/>
  <c r="S15" i="25" s="1"/>
  <c r="DL29" i="91"/>
  <c r="S17" i="25" s="1"/>
  <c r="BS46" i="91"/>
  <c r="DL15" i="91"/>
  <c r="S3" i="25" s="1"/>
  <c r="DL15" i="93"/>
  <c r="AC3" i="25" s="1"/>
  <c r="DL28" i="93"/>
  <c r="AC16" i="25" s="1"/>
  <c r="DL32" i="93"/>
  <c r="AC20" i="25" s="1"/>
  <c r="DL40" i="93"/>
  <c r="AC28" i="25" s="1"/>
  <c r="BQ46" i="93"/>
  <c r="B15" i="93"/>
  <c r="DL25" i="93"/>
  <c r="AC13" i="25" s="1"/>
  <c r="DL31" i="93"/>
  <c r="AC19" i="25" s="1"/>
  <c r="DL41" i="93"/>
  <c r="AC29" i="25" s="1"/>
  <c r="DL44" i="93"/>
  <c r="AC32" i="25" s="1"/>
  <c r="DL24" i="93"/>
  <c r="AC12" i="25" s="1"/>
  <c r="DL19" i="93"/>
  <c r="AC7" i="25" s="1"/>
  <c r="DL20" i="93"/>
  <c r="AC8" i="25" s="1"/>
  <c r="DL35" i="87"/>
  <c r="AC23" i="24" s="1"/>
  <c r="DL38" i="87"/>
  <c r="AC26" i="24" s="1"/>
  <c r="DL18" i="87"/>
  <c r="AC6" i="24" s="1"/>
  <c r="DL26" i="87"/>
  <c r="AC14" i="24" s="1"/>
  <c r="DL17" i="87"/>
  <c r="AC5" i="24" s="1"/>
  <c r="DL25" i="87"/>
  <c r="AC13" i="24" s="1"/>
  <c r="DL43" i="87"/>
  <c r="AC31" i="24" s="1"/>
  <c r="DL45" i="87"/>
  <c r="AC33" i="24" s="1"/>
  <c r="AC46" i="87"/>
  <c r="BQ46" i="87"/>
  <c r="DL16" i="87"/>
  <c r="AC4" i="24" s="1"/>
  <c r="B15" i="92"/>
  <c r="DL22" i="86"/>
  <c r="X10" i="24" s="1"/>
  <c r="DL20" i="86"/>
  <c r="X8" i="24" s="1"/>
  <c r="DL44" i="86"/>
  <c r="X32" i="24" s="1"/>
  <c r="DL40" i="86"/>
  <c r="X28" i="24" s="1"/>
  <c r="DL32" i="86"/>
  <c r="X20" i="24" s="1"/>
  <c r="DL19" i="86"/>
  <c r="X7" i="24" s="1"/>
  <c r="DL21" i="86"/>
  <c r="X9" i="24" s="1"/>
  <c r="DL29" i="84"/>
  <c r="N17" i="24" s="1"/>
  <c r="DL33" i="84"/>
  <c r="N21" i="24" s="1"/>
  <c r="DL32" i="84"/>
  <c r="N20" i="24" s="1"/>
  <c r="DL39" i="84"/>
  <c r="N27" i="24" s="1"/>
  <c r="DL43" i="84"/>
  <c r="N31" i="24" s="1"/>
  <c r="DL40" i="84"/>
  <c r="N28" i="24" s="1"/>
  <c r="DL28" i="84"/>
  <c r="N16" i="24" s="1"/>
  <c r="DL19" i="84"/>
  <c r="N7" i="24" s="1"/>
  <c r="DL21" i="84"/>
  <c r="N9" i="24" s="1"/>
  <c r="DL25" i="84"/>
  <c r="N13" i="24" s="1"/>
  <c r="DL44" i="84"/>
  <c r="N32" i="24" s="1"/>
  <c r="AC46" i="84"/>
  <c r="BQ46" i="84"/>
  <c r="DL30" i="84"/>
  <c r="N18" i="24" s="1"/>
  <c r="DL34" i="84"/>
  <c r="N22" i="24" s="1"/>
  <c r="DL22" i="84"/>
  <c r="N10" i="24" s="1"/>
  <c r="DL24" i="84"/>
  <c r="N12" i="24" s="1"/>
  <c r="DL26" i="84"/>
  <c r="N14" i="24" s="1"/>
  <c r="DL36" i="84"/>
  <c r="N24" i="24" s="1"/>
  <c r="X46" i="93"/>
  <c r="BT46" i="93"/>
  <c r="AA45" i="92"/>
  <c r="AB45" i="90"/>
  <c r="BR45" i="90"/>
  <c r="BS45" i="90"/>
  <c r="Y45" i="90"/>
  <c r="DL37" i="88"/>
  <c r="D25" i="25" s="1"/>
  <c r="DL40" i="88"/>
  <c r="D28" i="25" s="1"/>
  <c r="DL22" i="88"/>
  <c r="D10" i="25" s="1"/>
  <c r="DL32" i="88"/>
  <c r="D20" i="25" s="1"/>
  <c r="DL16" i="88"/>
  <c r="D4" i="25" s="1"/>
  <c r="DL18" i="88"/>
  <c r="D6" i="25" s="1"/>
  <c r="DL20" i="88"/>
  <c r="D8" i="25" s="1"/>
  <c r="DL39" i="88"/>
  <c r="D27" i="25" s="1"/>
  <c r="DL24" i="88"/>
  <c r="D12" i="25" s="1"/>
  <c r="DL42" i="88"/>
  <c r="D30" i="25" s="1"/>
  <c r="DL41" i="88"/>
  <c r="D29" i="25" s="1"/>
  <c r="AC44" i="88"/>
  <c r="Y44" i="88"/>
  <c r="X44" i="88"/>
  <c r="BT44" i="88"/>
  <c r="Z44" i="88"/>
  <c r="Y46" i="87"/>
  <c r="AB46" i="87"/>
  <c r="BP46" i="87"/>
  <c r="X46" i="87"/>
  <c r="BT46" i="87"/>
  <c r="Z46" i="87"/>
  <c r="AA46" i="87"/>
  <c r="AA46" i="86"/>
  <c r="BT46" i="86"/>
  <c r="AB46" i="86"/>
  <c r="BQ46" i="86"/>
  <c r="BR46" i="86"/>
  <c r="A92" i="85"/>
  <c r="X45" i="85"/>
  <c r="BS46" i="84"/>
  <c r="X46" i="84"/>
  <c r="BT46" i="84"/>
  <c r="AA46" i="84"/>
  <c r="A16" i="92"/>
  <c r="A17" i="92" s="1"/>
  <c r="A16" i="91"/>
  <c r="B15" i="87"/>
  <c r="B15" i="86"/>
  <c r="A16" i="85"/>
  <c r="DL17" i="93"/>
  <c r="AC5" i="25" s="1"/>
  <c r="Y46" i="93"/>
  <c r="DL18" i="93"/>
  <c r="AC6" i="25" s="1"/>
  <c r="D82" i="92"/>
  <c r="H48" i="92" s="1"/>
  <c r="Z46" i="93"/>
  <c r="BS46" i="93"/>
  <c r="DL26" i="93"/>
  <c r="AC14" i="25" s="1"/>
  <c r="AA46" i="93"/>
  <c r="AC46" i="93"/>
  <c r="DL23" i="93"/>
  <c r="AC11" i="25" s="1"/>
  <c r="DL30" i="93"/>
  <c r="AC18" i="25" s="1"/>
  <c r="DL21" i="93"/>
  <c r="AC9" i="25" s="1"/>
  <c r="BP46" i="93"/>
  <c r="DL29" i="93"/>
  <c r="AC17" i="25" s="1"/>
  <c r="DL33" i="93"/>
  <c r="AC21" i="25" s="1"/>
  <c r="AB46" i="93"/>
  <c r="BR46" i="93"/>
  <c r="DL36" i="93"/>
  <c r="AC24" i="25" s="1"/>
  <c r="DL38" i="93"/>
  <c r="AC26" i="25" s="1"/>
  <c r="DL34" i="93"/>
  <c r="AC22" i="25" s="1"/>
  <c r="D83" i="93"/>
  <c r="H49" i="93" s="1"/>
  <c r="DL17" i="92"/>
  <c r="X5" i="25" s="1"/>
  <c r="AB45" i="92"/>
  <c r="AC45" i="92"/>
  <c r="BT45" i="92"/>
  <c r="DL18" i="92"/>
  <c r="X6" i="25" s="1"/>
  <c r="X45" i="92"/>
  <c r="Y45" i="92"/>
  <c r="BQ45" i="92"/>
  <c r="BR45" i="92"/>
  <c r="BS45" i="92"/>
  <c r="DL23" i="92"/>
  <c r="X11" i="25" s="1"/>
  <c r="DL31" i="92"/>
  <c r="X19" i="25" s="1"/>
  <c r="DL35" i="92"/>
  <c r="X23" i="25" s="1"/>
  <c r="DL30" i="92"/>
  <c r="X18" i="25" s="1"/>
  <c r="DL32" i="92"/>
  <c r="X20" i="25" s="1"/>
  <c r="Z45" i="92"/>
  <c r="DL38" i="92"/>
  <c r="X26" i="25" s="1"/>
  <c r="DL40" i="92"/>
  <c r="X28" i="25" s="1"/>
  <c r="DL42" i="92"/>
  <c r="X30" i="25" s="1"/>
  <c r="DL44" i="92"/>
  <c r="X32" i="25" s="1"/>
  <c r="DL45" i="92"/>
  <c r="Y46" i="91"/>
  <c r="Z46" i="91"/>
  <c r="D82" i="90"/>
  <c r="AC46" i="91"/>
  <c r="BT46" i="91"/>
  <c r="AB46" i="91"/>
  <c r="BP46" i="91"/>
  <c r="DL42" i="91"/>
  <c r="S30" i="25" s="1"/>
  <c r="DL26" i="91"/>
  <c r="S14" i="25" s="1"/>
  <c r="AA46" i="91"/>
  <c r="X46" i="91"/>
  <c r="BQ46" i="91"/>
  <c r="DL20" i="91"/>
  <c r="S8" i="25" s="1"/>
  <c r="DL32" i="91"/>
  <c r="S20" i="25" s="1"/>
  <c r="DL39" i="91"/>
  <c r="S27" i="25" s="1"/>
  <c r="DL30" i="91"/>
  <c r="S18" i="25" s="1"/>
  <c r="BR46" i="91"/>
  <c r="DL45" i="91"/>
  <c r="S33" i="25" s="1"/>
  <c r="DL40" i="91"/>
  <c r="S28" i="25" s="1"/>
  <c r="DL43" i="91"/>
  <c r="S31" i="25" s="1"/>
  <c r="DL37" i="91"/>
  <c r="S25" i="25" s="1"/>
  <c r="D83" i="91"/>
  <c r="H49" i="91" s="1"/>
  <c r="DL31" i="91"/>
  <c r="S19" i="25" s="1"/>
  <c r="DL38" i="91"/>
  <c r="S26" i="25" s="1"/>
  <c r="DL44" i="91"/>
  <c r="S32" i="25" s="1"/>
  <c r="DL36" i="91"/>
  <c r="S24" i="25" s="1"/>
  <c r="DL25" i="90"/>
  <c r="N13" i="25" s="1"/>
  <c r="DL18" i="90"/>
  <c r="N6" i="25" s="1"/>
  <c r="D83" i="89"/>
  <c r="H49" i="89" s="1"/>
  <c r="X45" i="90"/>
  <c r="BQ45" i="90"/>
  <c r="DL20" i="90"/>
  <c r="N8" i="25" s="1"/>
  <c r="B15" i="90"/>
  <c r="AA45" i="90"/>
  <c r="DL21" i="90"/>
  <c r="N9" i="25" s="1"/>
  <c r="DL27" i="90"/>
  <c r="N15" i="25" s="1"/>
  <c r="DL30" i="90"/>
  <c r="N18" i="25" s="1"/>
  <c r="AC45" i="90"/>
  <c r="BP45" i="90"/>
  <c r="DL40" i="90"/>
  <c r="N28" i="25" s="1"/>
  <c r="BT45" i="90"/>
  <c r="DL36" i="90"/>
  <c r="N24" i="25" s="1"/>
  <c r="DL43" i="90"/>
  <c r="N31" i="25" s="1"/>
  <c r="DL44" i="90"/>
  <c r="N32" i="25" s="1"/>
  <c r="X46" i="89"/>
  <c r="Y46" i="89"/>
  <c r="Z46" i="89"/>
  <c r="DL15" i="89"/>
  <c r="I3" i="25" s="1"/>
  <c r="BS46" i="89"/>
  <c r="DL31" i="89"/>
  <c r="I19" i="25" s="1"/>
  <c r="DL18" i="89"/>
  <c r="I6" i="25" s="1"/>
  <c r="D15" i="89"/>
  <c r="DL22" i="89"/>
  <c r="I10" i="25" s="1"/>
  <c r="AC46" i="89"/>
  <c r="BP46" i="89"/>
  <c r="DL24" i="89"/>
  <c r="I12" i="25" s="1"/>
  <c r="BQ46" i="89"/>
  <c r="A16" i="89"/>
  <c r="DL27" i="89"/>
  <c r="I15" i="25" s="1"/>
  <c r="DL33" i="89"/>
  <c r="I21" i="25" s="1"/>
  <c r="DL26" i="89"/>
  <c r="I14" i="25" s="1"/>
  <c r="AA46" i="89"/>
  <c r="BT46" i="89"/>
  <c r="DL30" i="89"/>
  <c r="I18" i="25" s="1"/>
  <c r="DL41" i="89"/>
  <c r="I29" i="25" s="1"/>
  <c r="AB46" i="89"/>
  <c r="BR46" i="89"/>
  <c r="B15" i="88"/>
  <c r="A16" i="88"/>
  <c r="DL15" i="88"/>
  <c r="D3" i="25" s="1"/>
  <c r="DL25" i="88"/>
  <c r="D13" i="25" s="1"/>
  <c r="DL17" i="88"/>
  <c r="D5" i="25" s="1"/>
  <c r="DL19" i="88"/>
  <c r="D7" i="25" s="1"/>
  <c r="D81" i="88"/>
  <c r="AA44" i="88"/>
  <c r="BP44" i="88"/>
  <c r="BQ44" i="88"/>
  <c r="BR44" i="88"/>
  <c r="DL35" i="88"/>
  <c r="D23" i="25" s="1"/>
  <c r="BS44" i="88"/>
  <c r="DL33" i="88"/>
  <c r="D21" i="25" s="1"/>
  <c r="DL34" i="88"/>
  <c r="D22" i="25" s="1"/>
  <c r="AB44" i="88"/>
  <c r="DL30" i="88"/>
  <c r="D18" i="25" s="1"/>
  <c r="DL36" i="88"/>
  <c r="D24" i="25" s="1"/>
  <c r="DL20" i="87"/>
  <c r="AC8" i="24" s="1"/>
  <c r="DL24" i="87"/>
  <c r="AC12" i="24" s="1"/>
  <c r="D83" i="86"/>
  <c r="BS46" i="87"/>
  <c r="DL23" i="87"/>
  <c r="AC11" i="24" s="1"/>
  <c r="DL27" i="87"/>
  <c r="AC15" i="24" s="1"/>
  <c r="DL28" i="87"/>
  <c r="AC16" i="24" s="1"/>
  <c r="DL30" i="87"/>
  <c r="AC18" i="24" s="1"/>
  <c r="DL32" i="87"/>
  <c r="AC20" i="24" s="1"/>
  <c r="DL36" i="87"/>
  <c r="AC24" i="24" s="1"/>
  <c r="DL34" i="87"/>
  <c r="AC22" i="24" s="1"/>
  <c r="DL44" i="87"/>
  <c r="AC32" i="24" s="1"/>
  <c r="DL41" i="87"/>
  <c r="AC29" i="24" s="1"/>
  <c r="D83" i="87"/>
  <c r="DL15" i="86"/>
  <c r="X3" i="24" s="1"/>
  <c r="DL18" i="86"/>
  <c r="X6" i="24" s="1"/>
  <c r="DL17" i="86"/>
  <c r="X5" i="24" s="1"/>
  <c r="DL23" i="86"/>
  <c r="X11" i="24" s="1"/>
  <c r="DL25" i="86"/>
  <c r="X13" i="24" s="1"/>
  <c r="DL28" i="86"/>
  <c r="X16" i="24" s="1"/>
  <c r="AC46" i="86"/>
  <c r="BS46" i="86"/>
  <c r="DL30" i="86"/>
  <c r="X18" i="24" s="1"/>
  <c r="X46" i="86"/>
  <c r="DL27" i="86"/>
  <c r="X15" i="24" s="1"/>
  <c r="D82" i="85"/>
  <c r="Y46" i="86"/>
  <c r="DL34" i="86"/>
  <c r="X22" i="24" s="1"/>
  <c r="Z46" i="86"/>
  <c r="BP46" i="86"/>
  <c r="DL26" i="86"/>
  <c r="X14" i="24" s="1"/>
  <c r="DL29" i="86"/>
  <c r="X17" i="24" s="1"/>
  <c r="DL38" i="86"/>
  <c r="X26" i="24" s="1"/>
  <c r="DL42" i="86"/>
  <c r="X30" i="24" s="1"/>
  <c r="DL33" i="86"/>
  <c r="X21" i="24" s="1"/>
  <c r="DL35" i="86"/>
  <c r="X23" i="24" s="1"/>
  <c r="DL39" i="86"/>
  <c r="X27" i="24" s="1"/>
  <c r="DL43" i="86"/>
  <c r="X31" i="24" s="1"/>
  <c r="DL37" i="86"/>
  <c r="X25" i="24" s="1"/>
  <c r="DL41" i="86"/>
  <c r="X29" i="24" s="1"/>
  <c r="DL45" i="86"/>
  <c r="X33" i="24" s="1"/>
  <c r="DL36" i="86"/>
  <c r="X24" i="24" s="1"/>
  <c r="DL15" i="85"/>
  <c r="S3" i="24" s="1"/>
  <c r="DL17" i="85"/>
  <c r="S5" i="24" s="1"/>
  <c r="DL29" i="85"/>
  <c r="S17" i="24" s="1"/>
  <c r="AC45" i="85"/>
  <c r="BP45" i="85"/>
  <c r="BQ45" i="85"/>
  <c r="Y45" i="85"/>
  <c r="BR45" i="85"/>
  <c r="Z45" i="85"/>
  <c r="BS45" i="85"/>
  <c r="AA45" i="85"/>
  <c r="BT45" i="85"/>
  <c r="DL21" i="85"/>
  <c r="S9" i="24" s="1"/>
  <c r="DL24" i="85"/>
  <c r="S12" i="24" s="1"/>
  <c r="DL25" i="85"/>
  <c r="S13" i="24" s="1"/>
  <c r="DL26" i="85"/>
  <c r="S14" i="24" s="1"/>
  <c r="DL27" i="85"/>
  <c r="S15" i="24" s="1"/>
  <c r="DL28" i="85"/>
  <c r="S16" i="24" s="1"/>
  <c r="D83" i="84"/>
  <c r="AB45" i="85"/>
  <c r="DL30" i="85"/>
  <c r="S18" i="24" s="1"/>
  <c r="DL32" i="85"/>
  <c r="S20" i="24" s="1"/>
  <c r="DL33" i="85"/>
  <c r="S21" i="24" s="1"/>
  <c r="DL34" i="85"/>
  <c r="S22" i="24" s="1"/>
  <c r="DL44" i="85"/>
  <c r="S32" i="24" s="1"/>
  <c r="DL36" i="85"/>
  <c r="S24" i="24" s="1"/>
  <c r="DL38" i="85"/>
  <c r="S26" i="24" s="1"/>
  <c r="DL40" i="85"/>
  <c r="S28" i="24" s="1"/>
  <c r="DL42" i="85"/>
  <c r="S30" i="24" s="1"/>
  <c r="DL45" i="85"/>
  <c r="DL18" i="84"/>
  <c r="N6" i="24" s="1"/>
  <c r="DL15" i="84"/>
  <c r="N3" i="24" s="1"/>
  <c r="DL17" i="84"/>
  <c r="N5" i="24" s="1"/>
  <c r="AB46" i="84"/>
  <c r="Y46" i="84"/>
  <c r="A16" i="84"/>
  <c r="BR46" i="84"/>
  <c r="Z46" i="84"/>
  <c r="BP46" i="84"/>
  <c r="DL38" i="84"/>
  <c r="N26" i="24" s="1"/>
  <c r="DL37" i="84"/>
  <c r="N25" i="24" s="1"/>
  <c r="DL42" i="84"/>
  <c r="N30" i="24" s="1"/>
  <c r="DL41" i="84"/>
  <c r="N29" i="24" s="1"/>
  <c r="DL45" i="83"/>
  <c r="DL24" i="83"/>
  <c r="I12" i="24" s="1"/>
  <c r="DL15" i="83"/>
  <c r="I3" i="24" s="1"/>
  <c r="DL33" i="83"/>
  <c r="I21" i="24" s="1"/>
  <c r="DL35" i="83"/>
  <c r="I23" i="24" s="1"/>
  <c r="DL29" i="83"/>
  <c r="I17" i="24" s="1"/>
  <c r="DL42" i="83"/>
  <c r="I30" i="24" s="1"/>
  <c r="DL43" i="83"/>
  <c r="I31" i="24" s="1"/>
  <c r="DL19" i="83"/>
  <c r="I7" i="24" s="1"/>
  <c r="DL28" i="83"/>
  <c r="I16" i="24" s="1"/>
  <c r="DL32" i="83"/>
  <c r="I20" i="24" s="1"/>
  <c r="DL34" i="83"/>
  <c r="I22" i="24" s="1"/>
  <c r="DL41" i="83"/>
  <c r="I29" i="24" s="1"/>
  <c r="D82" i="83"/>
  <c r="AB45" i="83"/>
  <c r="DL26" i="83"/>
  <c r="I14" i="24" s="1"/>
  <c r="DL27" i="83"/>
  <c r="I15" i="24" s="1"/>
  <c r="BS45" i="83"/>
  <c r="DL20" i="83"/>
  <c r="I8" i="24" s="1"/>
  <c r="AC45" i="83"/>
  <c r="DL18" i="83"/>
  <c r="I6" i="24" s="1"/>
  <c r="DL38" i="83"/>
  <c r="I26" i="24" s="1"/>
  <c r="BT45" i="83"/>
  <c r="DL21" i="83"/>
  <c r="I9" i="24" s="1"/>
  <c r="DL25" i="83"/>
  <c r="I13" i="24" s="1"/>
  <c r="DL17" i="83"/>
  <c r="I5" i="24" s="1"/>
  <c r="DL22" i="83"/>
  <c r="I10" i="24" s="1"/>
  <c r="BR45" i="83"/>
  <c r="DL23" i="83"/>
  <c r="I11" i="24" s="1"/>
  <c r="DL30" i="83"/>
  <c r="I18" i="24" s="1"/>
  <c r="DL31" i="83"/>
  <c r="I19" i="24" s="1"/>
  <c r="BP45" i="83"/>
  <c r="X45" i="83"/>
  <c r="A16" i="83"/>
  <c r="Y45" i="83"/>
  <c r="DL36" i="83"/>
  <c r="I24" i="24" s="1"/>
  <c r="Z45" i="83"/>
  <c r="AA45" i="83"/>
  <c r="BQ45" i="83"/>
  <c r="DL37" i="83"/>
  <c r="I25" i="24" s="1"/>
  <c r="DL44" i="83"/>
  <c r="I32" i="24" s="1"/>
  <c r="DL39" i="83"/>
  <c r="I27" i="24" s="1"/>
  <c r="DL40" i="83"/>
  <c r="I28" i="24" s="1"/>
  <c r="CW16" i="87" l="1"/>
  <c r="CO16" i="87"/>
  <c r="CG16" i="87"/>
  <c r="DD16" i="87"/>
  <c r="CV16" i="87"/>
  <c r="CN16" i="87"/>
  <c r="CF16" i="87"/>
  <c r="DC16" i="87"/>
  <c r="CU16" i="87"/>
  <c r="CM16" i="87"/>
  <c r="CE16" i="87"/>
  <c r="DB16" i="87"/>
  <c r="CT16" i="87"/>
  <c r="CL16" i="87"/>
  <c r="CD16" i="87"/>
  <c r="DA16" i="87"/>
  <c r="CS16" i="87"/>
  <c r="CK16" i="87"/>
  <c r="CC16" i="87"/>
  <c r="CZ16" i="87"/>
  <c r="CR16" i="87"/>
  <c r="CJ16" i="87"/>
  <c r="CB16" i="87"/>
  <c r="CY16" i="87"/>
  <c r="CQ16" i="87"/>
  <c r="CI16" i="87"/>
  <c r="CA16" i="87"/>
  <c r="CX16" i="87"/>
  <c r="CP16" i="87"/>
  <c r="CH16" i="87"/>
  <c r="BM16" i="87"/>
  <c r="BE16" i="87"/>
  <c r="AW16" i="87"/>
  <c r="AO16" i="87"/>
  <c r="BL16" i="87"/>
  <c r="BD16" i="87"/>
  <c r="AV16" i="87"/>
  <c r="AN16" i="87"/>
  <c r="BK16" i="87"/>
  <c r="BC16" i="87"/>
  <c r="AU16" i="87"/>
  <c r="AM16" i="87"/>
  <c r="BJ16" i="87"/>
  <c r="BB16" i="87"/>
  <c r="AT16" i="87"/>
  <c r="AL16" i="87"/>
  <c r="BI16" i="87"/>
  <c r="BA16" i="87"/>
  <c r="AS16" i="87"/>
  <c r="AK16" i="87"/>
  <c r="BH16" i="87"/>
  <c r="AZ16" i="87"/>
  <c r="AR16" i="87"/>
  <c r="AJ16" i="87"/>
  <c r="BG16" i="87"/>
  <c r="AY16" i="87"/>
  <c r="AQ16" i="87"/>
  <c r="BF16" i="87"/>
  <c r="AX16" i="87"/>
  <c r="AP16" i="87"/>
  <c r="CX16" i="93"/>
  <c r="CP16" i="93"/>
  <c r="CH16" i="93"/>
  <c r="CW16" i="93"/>
  <c r="CO16" i="93"/>
  <c r="CG16" i="93"/>
  <c r="DD16" i="93"/>
  <c r="CV16" i="93"/>
  <c r="CN16" i="93"/>
  <c r="CF16" i="93"/>
  <c r="DC16" i="93"/>
  <c r="CU16" i="93"/>
  <c r="CM16" i="93"/>
  <c r="CE16" i="93"/>
  <c r="DB16" i="93"/>
  <c r="CT16" i="93"/>
  <c r="CL16" i="93"/>
  <c r="CD16" i="93"/>
  <c r="DA16" i="93"/>
  <c r="CS16" i="93"/>
  <c r="CK16" i="93"/>
  <c r="CC16" i="93"/>
  <c r="CY16" i="93"/>
  <c r="CQ16" i="93"/>
  <c r="CI16" i="93"/>
  <c r="CA16" i="93"/>
  <c r="CZ16" i="93"/>
  <c r="CR16" i="93"/>
  <c r="CJ16" i="93"/>
  <c r="CB16" i="93"/>
  <c r="BL16" i="93"/>
  <c r="BD16" i="93"/>
  <c r="AV16" i="93"/>
  <c r="AN16" i="93"/>
  <c r="BK16" i="93"/>
  <c r="BC16" i="93"/>
  <c r="AU16" i="93"/>
  <c r="AM16" i="93"/>
  <c r="BJ16" i="93"/>
  <c r="BB16" i="93"/>
  <c r="AT16" i="93"/>
  <c r="AL16" i="93"/>
  <c r="BH16" i="93"/>
  <c r="AZ16" i="93"/>
  <c r="AR16" i="93"/>
  <c r="AJ16" i="93"/>
  <c r="BF16" i="93"/>
  <c r="AX16" i="93"/>
  <c r="AP16" i="93"/>
  <c r="BM16" i="93"/>
  <c r="BE16" i="93"/>
  <c r="AW16" i="93"/>
  <c r="AO16" i="93"/>
  <c r="AS16" i="93"/>
  <c r="AQ16" i="93"/>
  <c r="AK16" i="93"/>
  <c r="BI16" i="93"/>
  <c r="BG16" i="93"/>
  <c r="BA16" i="93"/>
  <c r="AY16" i="93"/>
  <c r="BH15" i="91"/>
  <c r="AZ15" i="91"/>
  <c r="AR15" i="91"/>
  <c r="AJ15" i="91"/>
  <c r="BG15" i="91"/>
  <c r="AY15" i="91"/>
  <c r="AQ15" i="91"/>
  <c r="BF15" i="91"/>
  <c r="AX15" i="91"/>
  <c r="AP15" i="91"/>
  <c r="BM15" i="91"/>
  <c r="BE15" i="91"/>
  <c r="AW15" i="91"/>
  <c r="AO15" i="91"/>
  <c r="BL15" i="91"/>
  <c r="BD15" i="91"/>
  <c r="AV15" i="91"/>
  <c r="AN15" i="91"/>
  <c r="BK15" i="91"/>
  <c r="BC15" i="91"/>
  <c r="AU15" i="91"/>
  <c r="AM15" i="91"/>
  <c r="BJ15" i="91"/>
  <c r="BB15" i="91"/>
  <c r="AT15" i="91"/>
  <c r="AL15" i="91"/>
  <c r="BI15" i="91"/>
  <c r="BA15" i="91"/>
  <c r="AS15" i="91"/>
  <c r="AK15" i="91"/>
  <c r="DC15" i="91"/>
  <c r="CU15" i="91"/>
  <c r="CM15" i="91"/>
  <c r="CE15" i="91"/>
  <c r="DB15" i="91"/>
  <c r="CT15" i="91"/>
  <c r="CL15" i="91"/>
  <c r="CD15" i="91"/>
  <c r="CZ15" i="91"/>
  <c r="CR15" i="91"/>
  <c r="CJ15" i="91"/>
  <c r="CB15" i="91"/>
  <c r="CY15" i="91"/>
  <c r="CQ15" i="91"/>
  <c r="CI15" i="91"/>
  <c r="CA15" i="91"/>
  <c r="CX15" i="91"/>
  <c r="CP15" i="91"/>
  <c r="CH15" i="91"/>
  <c r="CW15" i="91"/>
  <c r="CO15" i="91"/>
  <c r="CG15" i="91"/>
  <c r="CC15" i="91"/>
  <c r="DD15" i="91"/>
  <c r="DA15" i="91"/>
  <c r="CV15" i="91"/>
  <c r="CS15" i="91"/>
  <c r="CN15" i="91"/>
  <c r="CK15" i="91"/>
  <c r="CF15" i="91"/>
  <c r="DC15" i="88"/>
  <c r="CU15" i="88"/>
  <c r="CM15" i="88"/>
  <c r="CE15" i="88"/>
  <c r="DB15" i="88"/>
  <c r="CT15" i="88"/>
  <c r="CL15" i="88"/>
  <c r="CD15" i="88"/>
  <c r="DA15" i="88"/>
  <c r="CS15" i="88"/>
  <c r="CK15" i="88"/>
  <c r="CC15" i="88"/>
  <c r="CZ15" i="88"/>
  <c r="CR15" i="88"/>
  <c r="CJ15" i="88"/>
  <c r="CB15" i="88"/>
  <c r="CY15" i="88"/>
  <c r="CQ15" i="88"/>
  <c r="CI15" i="88"/>
  <c r="CA15" i="88"/>
  <c r="CX15" i="88"/>
  <c r="CP15" i="88"/>
  <c r="CH15" i="88"/>
  <c r="CW15" i="88"/>
  <c r="CO15" i="88"/>
  <c r="CG15" i="88"/>
  <c r="DD15" i="88"/>
  <c r="CV15" i="88"/>
  <c r="CN15" i="88"/>
  <c r="CF15" i="88"/>
  <c r="BG15" i="88"/>
  <c r="AY15" i="88"/>
  <c r="AQ15" i="88"/>
  <c r="BF15" i="88"/>
  <c r="AX15" i="88"/>
  <c r="BM15" i="88"/>
  <c r="BE15" i="88"/>
  <c r="AW15" i="88"/>
  <c r="BK15" i="88"/>
  <c r="BC15" i="88"/>
  <c r="AU15" i="88"/>
  <c r="BH15" i="88"/>
  <c r="AR15" i="88"/>
  <c r="BD15" i="88"/>
  <c r="AP15" i="88"/>
  <c r="BB15" i="88"/>
  <c r="AO15" i="88"/>
  <c r="AZ15" i="88"/>
  <c r="AM15" i="88"/>
  <c r="BJ15" i="88"/>
  <c r="AT15" i="88"/>
  <c r="AK15" i="88"/>
  <c r="BI15" i="88"/>
  <c r="AS15" i="88"/>
  <c r="AJ15" i="88"/>
  <c r="BA15" i="88"/>
  <c r="AV15" i="88"/>
  <c r="AN15" i="88"/>
  <c r="AL15" i="88"/>
  <c r="BL15" i="88"/>
  <c r="DC15" i="87"/>
  <c r="CU15" i="87"/>
  <c r="CM15" i="87"/>
  <c r="CE15" i="87"/>
  <c r="DB15" i="87"/>
  <c r="CT15" i="87"/>
  <c r="CL15" i="87"/>
  <c r="CD15" i="87"/>
  <c r="DA15" i="87"/>
  <c r="CS15" i="87"/>
  <c r="CK15" i="87"/>
  <c r="CC15" i="87"/>
  <c r="CZ15" i="87"/>
  <c r="CR15" i="87"/>
  <c r="CJ15" i="87"/>
  <c r="CB15" i="87"/>
  <c r="CY15" i="87"/>
  <c r="CQ15" i="87"/>
  <c r="CI15" i="87"/>
  <c r="CA15" i="87"/>
  <c r="CX15" i="87"/>
  <c r="CP15" i="87"/>
  <c r="CH15" i="87"/>
  <c r="CW15" i="87"/>
  <c r="CO15" i="87"/>
  <c r="CG15" i="87"/>
  <c r="DD15" i="87"/>
  <c r="CV15" i="87"/>
  <c r="CN15" i="87"/>
  <c r="CF15" i="87"/>
  <c r="BK15" i="87"/>
  <c r="BC15" i="87"/>
  <c r="AU15" i="87"/>
  <c r="AM15" i="87"/>
  <c r="BJ15" i="87"/>
  <c r="BB15" i="87"/>
  <c r="AT15" i="87"/>
  <c r="AL15" i="87"/>
  <c r="BI15" i="87"/>
  <c r="BA15" i="87"/>
  <c r="AS15" i="87"/>
  <c r="AK15" i="87"/>
  <c r="BH15" i="87"/>
  <c r="AZ15" i="87"/>
  <c r="AR15" i="87"/>
  <c r="AJ15" i="87"/>
  <c r="BG15" i="87"/>
  <c r="AY15" i="87"/>
  <c r="AQ15" i="87"/>
  <c r="BF15" i="87"/>
  <c r="AX15" i="87"/>
  <c r="AP15" i="87"/>
  <c r="BM15" i="87"/>
  <c r="BE15" i="87"/>
  <c r="AW15" i="87"/>
  <c r="AO15" i="87"/>
  <c r="BL15" i="87"/>
  <c r="BD15" i="87"/>
  <c r="AV15" i="87"/>
  <c r="AN15" i="87"/>
  <c r="DD15" i="93"/>
  <c r="CV15" i="93"/>
  <c r="CN15" i="93"/>
  <c r="CF15" i="93"/>
  <c r="DC15" i="93"/>
  <c r="CU15" i="93"/>
  <c r="CM15" i="93"/>
  <c r="CE15" i="93"/>
  <c r="DB15" i="93"/>
  <c r="CT15" i="93"/>
  <c r="CL15" i="93"/>
  <c r="CD15" i="93"/>
  <c r="DA15" i="93"/>
  <c r="CS15" i="93"/>
  <c r="CK15" i="93"/>
  <c r="CC15" i="93"/>
  <c r="CZ15" i="93"/>
  <c r="CR15" i="93"/>
  <c r="CJ15" i="93"/>
  <c r="CB15" i="93"/>
  <c r="CY15" i="93"/>
  <c r="CQ15" i="93"/>
  <c r="CI15" i="93"/>
  <c r="CA15" i="93"/>
  <c r="CW15" i="93"/>
  <c r="CO15" i="93"/>
  <c r="CH15" i="93"/>
  <c r="CG15" i="93"/>
  <c r="CX15" i="93"/>
  <c r="CP15" i="93"/>
  <c r="BJ15" i="93"/>
  <c r="BB15" i="93"/>
  <c r="AT15" i="93"/>
  <c r="AL15" i="93"/>
  <c r="BI15" i="93"/>
  <c r="BA15" i="93"/>
  <c r="AS15" i="93"/>
  <c r="AK15" i="93"/>
  <c r="BH15" i="93"/>
  <c r="AZ15" i="93"/>
  <c r="AR15" i="93"/>
  <c r="AJ15" i="93"/>
  <c r="BF15" i="93"/>
  <c r="AX15" i="93"/>
  <c r="AP15" i="93"/>
  <c r="BL15" i="93"/>
  <c r="BD15" i="93"/>
  <c r="AV15" i="93"/>
  <c r="AN15" i="93"/>
  <c r="BK15" i="93"/>
  <c r="BC15" i="93"/>
  <c r="AU15" i="93"/>
  <c r="AM15" i="93"/>
  <c r="AQ15" i="93"/>
  <c r="AO15" i="93"/>
  <c r="BM15" i="93"/>
  <c r="BG15" i="93"/>
  <c r="BE15" i="93"/>
  <c r="AY15" i="93"/>
  <c r="AW15" i="93"/>
  <c r="CY16" i="90"/>
  <c r="CQ16" i="90"/>
  <c r="CI16" i="90"/>
  <c r="CA16" i="90"/>
  <c r="CX16" i="90"/>
  <c r="CP16" i="90"/>
  <c r="CH16" i="90"/>
  <c r="CW16" i="90"/>
  <c r="CO16" i="90"/>
  <c r="CG16" i="90"/>
  <c r="DD16" i="90"/>
  <c r="CV16" i="90"/>
  <c r="CN16" i="90"/>
  <c r="CF16" i="90"/>
  <c r="DC16" i="90"/>
  <c r="CU16" i="90"/>
  <c r="CM16" i="90"/>
  <c r="CE16" i="90"/>
  <c r="DB16" i="90"/>
  <c r="CT16" i="90"/>
  <c r="CL16" i="90"/>
  <c r="CD16" i="90"/>
  <c r="DA16" i="90"/>
  <c r="CS16" i="90"/>
  <c r="CK16" i="90"/>
  <c r="CC16" i="90"/>
  <c r="CZ16" i="90"/>
  <c r="CR16" i="90"/>
  <c r="CJ16" i="90"/>
  <c r="CB16" i="90"/>
  <c r="BJ16" i="90"/>
  <c r="BB16" i="90"/>
  <c r="AT16" i="90"/>
  <c r="AL16" i="90"/>
  <c r="AU16" i="90"/>
  <c r="BI16" i="90"/>
  <c r="BA16" i="90"/>
  <c r="AS16" i="90"/>
  <c r="AK16" i="90"/>
  <c r="AZ16" i="90"/>
  <c r="AJ16" i="90"/>
  <c r="BH16" i="90"/>
  <c r="AR16" i="90"/>
  <c r="AV16" i="90"/>
  <c r="BG16" i="90"/>
  <c r="AY16" i="90"/>
  <c r="AQ16" i="90"/>
  <c r="BF16" i="90"/>
  <c r="AP16" i="90"/>
  <c r="AO16" i="90"/>
  <c r="BD16" i="90"/>
  <c r="BC16" i="90"/>
  <c r="AX16" i="90"/>
  <c r="BM16" i="90"/>
  <c r="BE16" i="90"/>
  <c r="AW16" i="90"/>
  <c r="AN16" i="90"/>
  <c r="BK16" i="90"/>
  <c r="BL16" i="90"/>
  <c r="AM16" i="90"/>
  <c r="DD15" i="89"/>
  <c r="CV15" i="89"/>
  <c r="CN15" i="89"/>
  <c r="CF15" i="89"/>
  <c r="DA15" i="89"/>
  <c r="CS15" i="89"/>
  <c r="CK15" i="89"/>
  <c r="CT15" i="89"/>
  <c r="CI15" i="89"/>
  <c r="DC15" i="89"/>
  <c r="CR15" i="89"/>
  <c r="CH15" i="89"/>
  <c r="DB15" i="89"/>
  <c r="CQ15" i="89"/>
  <c r="CG15" i="89"/>
  <c r="CZ15" i="89"/>
  <c r="CP15" i="89"/>
  <c r="CE15" i="89"/>
  <c r="CY15" i="89"/>
  <c r="CO15" i="89"/>
  <c r="CD15" i="89"/>
  <c r="CX15" i="89"/>
  <c r="CM15" i="89"/>
  <c r="CC15" i="89"/>
  <c r="CW15" i="89"/>
  <c r="CL15" i="89"/>
  <c r="CB15" i="89"/>
  <c r="CU15" i="89"/>
  <c r="CJ15" i="89"/>
  <c r="CA15" i="89"/>
  <c r="BG15" i="89"/>
  <c r="AY15" i="89"/>
  <c r="AQ15" i="89"/>
  <c r="BF15" i="89"/>
  <c r="AX15" i="89"/>
  <c r="AP15" i="89"/>
  <c r="BM15" i="89"/>
  <c r="BE15" i="89"/>
  <c r="AW15" i="89"/>
  <c r="AO15" i="89"/>
  <c r="BL15" i="89"/>
  <c r="BD15" i="89"/>
  <c r="AV15" i="89"/>
  <c r="AN15" i="89"/>
  <c r="BK15" i="89"/>
  <c r="BC15" i="89"/>
  <c r="AU15" i="89"/>
  <c r="AM15" i="89"/>
  <c r="BJ15" i="89"/>
  <c r="BB15" i="89"/>
  <c r="AT15" i="89"/>
  <c r="AL15" i="89"/>
  <c r="BI15" i="89"/>
  <c r="BA15" i="89"/>
  <c r="AS15" i="89"/>
  <c r="AK15" i="89"/>
  <c r="BH15" i="89"/>
  <c r="AZ15" i="89"/>
  <c r="AR15" i="89"/>
  <c r="AJ15" i="89"/>
  <c r="DA15" i="92"/>
  <c r="CS15" i="92"/>
  <c r="CK15" i="92"/>
  <c r="CB15" i="92"/>
  <c r="CZ15" i="92"/>
  <c r="CR15" i="92"/>
  <c r="CJ15" i="92"/>
  <c r="CA15" i="92"/>
  <c r="CY15" i="92"/>
  <c r="CQ15" i="92"/>
  <c r="CI15" i="92"/>
  <c r="CX15" i="92"/>
  <c r="CP15" i="92"/>
  <c r="CH15" i="92"/>
  <c r="CW15" i="92"/>
  <c r="CO15" i="92"/>
  <c r="CG15" i="92"/>
  <c r="DD15" i="92"/>
  <c r="CV15" i="92"/>
  <c r="CN15" i="92"/>
  <c r="CE15" i="92"/>
  <c r="DC15" i="92"/>
  <c r="CU15" i="92"/>
  <c r="CM15" i="92"/>
  <c r="CD15" i="92"/>
  <c r="DB15" i="92"/>
  <c r="CT15" i="92"/>
  <c r="CL15" i="92"/>
  <c r="CC15" i="92"/>
  <c r="BH15" i="92"/>
  <c r="AZ15" i="92"/>
  <c r="AR15" i="92"/>
  <c r="BG15" i="92"/>
  <c r="AY15" i="92"/>
  <c r="AQ15" i="92"/>
  <c r="BI15" i="92"/>
  <c r="BF15" i="92"/>
  <c r="AX15" i="92"/>
  <c r="AP15" i="92"/>
  <c r="AJ15" i="92"/>
  <c r="BM15" i="92"/>
  <c r="BE15" i="92"/>
  <c r="AW15" i="92"/>
  <c r="AN15" i="92"/>
  <c r="BL15" i="92"/>
  <c r="BD15" i="92"/>
  <c r="AV15" i="92"/>
  <c r="AM15" i="92"/>
  <c r="BK15" i="92"/>
  <c r="BC15" i="92"/>
  <c r="AU15" i="92"/>
  <c r="AL15" i="92"/>
  <c r="AS15" i="92"/>
  <c r="BJ15" i="92"/>
  <c r="BB15" i="92"/>
  <c r="AT15" i="92"/>
  <c r="AK15" i="92"/>
  <c r="BA15" i="92"/>
  <c r="AO15" i="92"/>
  <c r="CF15" i="92"/>
  <c r="CW15" i="90"/>
  <c r="CO15" i="90"/>
  <c r="CF15" i="90"/>
  <c r="DD15" i="90"/>
  <c r="CV15" i="90"/>
  <c r="CN15" i="90"/>
  <c r="CE15" i="90"/>
  <c r="DC15" i="90"/>
  <c r="CU15" i="90"/>
  <c r="CM15" i="90"/>
  <c r="CD15" i="90"/>
  <c r="DB15" i="90"/>
  <c r="CT15" i="90"/>
  <c r="CL15" i="90"/>
  <c r="CC15" i="90"/>
  <c r="DA15" i="90"/>
  <c r="CS15" i="90"/>
  <c r="CK15" i="90"/>
  <c r="CB15" i="90"/>
  <c r="CZ15" i="90"/>
  <c r="CR15" i="90"/>
  <c r="CJ15" i="90"/>
  <c r="CA15" i="90"/>
  <c r="CY15" i="90"/>
  <c r="CQ15" i="90"/>
  <c r="CI15" i="90"/>
  <c r="CP15" i="90"/>
  <c r="CG15" i="90"/>
  <c r="CX15" i="90"/>
  <c r="BH15" i="90"/>
  <c r="AZ15" i="90"/>
  <c r="AR15" i="90"/>
  <c r="AL15" i="90"/>
  <c r="BG15" i="90"/>
  <c r="AY15" i="90"/>
  <c r="AP15" i="90"/>
  <c r="AX15" i="90"/>
  <c r="AM15" i="90"/>
  <c r="AT15" i="90"/>
  <c r="BI15" i="90"/>
  <c r="BF15" i="90"/>
  <c r="AO15" i="90"/>
  <c r="BK15" i="90"/>
  <c r="AS15" i="90"/>
  <c r="BM15" i="90"/>
  <c r="BE15" i="90"/>
  <c r="AW15" i="90"/>
  <c r="AN15" i="90"/>
  <c r="BD15" i="90"/>
  <c r="AK15" i="90"/>
  <c r="BL15" i="90"/>
  <c r="AV15" i="90"/>
  <c r="AU15" i="90"/>
  <c r="BJ15" i="90"/>
  <c r="BA15" i="90"/>
  <c r="BC15" i="90"/>
  <c r="AJ15" i="90"/>
  <c r="BB15" i="90"/>
  <c r="AQ15" i="90"/>
  <c r="CH15" i="90"/>
  <c r="DA15" i="86"/>
  <c r="CS15" i="86"/>
  <c r="CK15" i="86"/>
  <c r="CC15" i="86"/>
  <c r="CZ15" i="86"/>
  <c r="CR15" i="86"/>
  <c r="CJ15" i="86"/>
  <c r="CB15" i="86"/>
  <c r="CY15" i="86"/>
  <c r="CQ15" i="86"/>
  <c r="CI15" i="86"/>
  <c r="CX15" i="86"/>
  <c r="CP15" i="86"/>
  <c r="CH15" i="86"/>
  <c r="CW15" i="86"/>
  <c r="CO15" i="86"/>
  <c r="CG15" i="86"/>
  <c r="DD15" i="86"/>
  <c r="CV15" i="86"/>
  <c r="CN15" i="86"/>
  <c r="CF15" i="86"/>
  <c r="CL15" i="86"/>
  <c r="CD15" i="86"/>
  <c r="DC15" i="86"/>
  <c r="DB15" i="86"/>
  <c r="CU15" i="86"/>
  <c r="CT15" i="86"/>
  <c r="CM15" i="86"/>
  <c r="CE15" i="86"/>
  <c r="BF15" i="86"/>
  <c r="AX15" i="86"/>
  <c r="AP15" i="86"/>
  <c r="BM15" i="86"/>
  <c r="BD15" i="86"/>
  <c r="AU15" i="86"/>
  <c r="AL15" i="86"/>
  <c r="BL15" i="86"/>
  <c r="BC15" i="86"/>
  <c r="AT15" i="86"/>
  <c r="AK15" i="86"/>
  <c r="BB15" i="86"/>
  <c r="AQ15" i="86"/>
  <c r="BA15" i="86"/>
  <c r="AO15" i="86"/>
  <c r="BK15" i="86"/>
  <c r="AZ15" i="86"/>
  <c r="AN15" i="86"/>
  <c r="BJ15" i="86"/>
  <c r="AY15" i="86"/>
  <c r="AM15" i="86"/>
  <c r="BI15" i="86"/>
  <c r="AW15" i="86"/>
  <c r="BH15" i="86"/>
  <c r="AV15" i="86"/>
  <c r="BG15" i="86"/>
  <c r="AS15" i="86"/>
  <c r="BE15" i="86"/>
  <c r="AR15" i="86"/>
  <c r="AJ15" i="86"/>
  <c r="BK15" i="83"/>
  <c r="BC15" i="83"/>
  <c r="AU15" i="83"/>
  <c r="AM15" i="83"/>
  <c r="DD15" i="83"/>
  <c r="CV15" i="83"/>
  <c r="CN15" i="83"/>
  <c r="CF15" i="83"/>
  <c r="CU15" i="83"/>
  <c r="CE15" i="83"/>
  <c r="AS15" i="83"/>
  <c r="DB15" i="83"/>
  <c r="CL15" i="83"/>
  <c r="BJ15" i="83"/>
  <c r="BB15" i="83"/>
  <c r="AT15" i="83"/>
  <c r="AL15" i="83"/>
  <c r="DC15" i="83"/>
  <c r="CM15" i="83"/>
  <c r="AK15" i="83"/>
  <c r="CT15" i="83"/>
  <c r="BI15" i="83"/>
  <c r="BA15" i="83"/>
  <c r="CD15" i="83"/>
  <c r="BH15" i="83"/>
  <c r="AZ15" i="83"/>
  <c r="AR15" i="83"/>
  <c r="DA15" i="83"/>
  <c r="CS15" i="83"/>
  <c r="CK15" i="83"/>
  <c r="CC15" i="83"/>
  <c r="AQ15" i="83"/>
  <c r="BG15" i="83"/>
  <c r="AY15" i="83"/>
  <c r="BM15" i="83"/>
  <c r="AP15" i="83"/>
  <c r="CX15" i="83"/>
  <c r="CH15" i="83"/>
  <c r="CW15" i="83"/>
  <c r="CR15" i="83"/>
  <c r="CI15" i="83"/>
  <c r="BL15" i="83"/>
  <c r="AO15" i="83"/>
  <c r="CG15" i="83"/>
  <c r="CQ15" i="83"/>
  <c r="CJ15" i="83"/>
  <c r="BF15" i="83"/>
  <c r="AN15" i="83"/>
  <c r="CB15" i="83"/>
  <c r="BE15" i="83"/>
  <c r="BD15" i="83"/>
  <c r="CP15" i="83"/>
  <c r="AX15" i="83"/>
  <c r="CO15" i="83"/>
  <c r="CZ15" i="83"/>
  <c r="CY15" i="83"/>
  <c r="AW15" i="83"/>
  <c r="AV15" i="83"/>
  <c r="AJ15" i="83"/>
  <c r="CW15" i="85"/>
  <c r="CO15" i="85"/>
  <c r="CG15" i="85"/>
  <c r="CY15" i="85"/>
  <c r="CP15" i="85"/>
  <c r="CF15" i="85"/>
  <c r="CX15" i="85"/>
  <c r="CN15" i="85"/>
  <c r="CE15" i="85"/>
  <c r="CV15" i="85"/>
  <c r="CM15" i="85"/>
  <c r="CD15" i="85"/>
  <c r="DD15" i="85"/>
  <c r="CU15" i="85"/>
  <c r="CL15" i="85"/>
  <c r="CC15" i="85"/>
  <c r="DC15" i="85"/>
  <c r="CT15" i="85"/>
  <c r="CK15" i="85"/>
  <c r="CB15" i="85"/>
  <c r="DB15" i="85"/>
  <c r="CS15" i="85"/>
  <c r="CJ15" i="85"/>
  <c r="CA15" i="85"/>
  <c r="DA15" i="85"/>
  <c r="CR15" i="85"/>
  <c r="CI15" i="85"/>
  <c r="CH15" i="85"/>
  <c r="CZ15" i="85"/>
  <c r="CQ15" i="85"/>
  <c r="BH15" i="85"/>
  <c r="AZ15" i="85"/>
  <c r="AR15" i="85"/>
  <c r="AJ15" i="85"/>
  <c r="BG15" i="85"/>
  <c r="AY15" i="85"/>
  <c r="AQ15" i="85"/>
  <c r="BF15" i="85"/>
  <c r="AX15" i="85"/>
  <c r="AP15" i="85"/>
  <c r="BM15" i="85"/>
  <c r="BE15" i="85"/>
  <c r="AW15" i="85"/>
  <c r="AO15" i="85"/>
  <c r="BL15" i="85"/>
  <c r="BD15" i="85"/>
  <c r="AV15" i="85"/>
  <c r="AN15" i="85"/>
  <c r="BK15" i="85"/>
  <c r="BC15" i="85"/>
  <c r="AU15" i="85"/>
  <c r="AM15" i="85"/>
  <c r="BJ15" i="85"/>
  <c r="BB15" i="85"/>
  <c r="AT15" i="85"/>
  <c r="AL15" i="85"/>
  <c r="BI15" i="85"/>
  <c r="BA15" i="85"/>
  <c r="AS15" i="85"/>
  <c r="AK15" i="85"/>
  <c r="DB15" i="84"/>
  <c r="CT15" i="84"/>
  <c r="CL15" i="84"/>
  <c r="CD15" i="84"/>
  <c r="CV15" i="84"/>
  <c r="CM15" i="84"/>
  <c r="CB15" i="84"/>
  <c r="DD15" i="84"/>
  <c r="CU15" i="84"/>
  <c r="CK15" i="84"/>
  <c r="CA15" i="84"/>
  <c r="CZ15" i="84"/>
  <c r="CQ15" i="84"/>
  <c r="CH15" i="84"/>
  <c r="CR15" i="84"/>
  <c r="CE15" i="84"/>
  <c r="CP15" i="84"/>
  <c r="DC15" i="84"/>
  <c r="CO15" i="84"/>
  <c r="DA15" i="84"/>
  <c r="CN15" i="84"/>
  <c r="CY15" i="84"/>
  <c r="CJ15" i="84"/>
  <c r="CX15" i="84"/>
  <c r="CI15" i="84"/>
  <c r="CW15" i="84"/>
  <c r="CG15" i="84"/>
  <c r="CS15" i="84"/>
  <c r="CF15" i="84"/>
  <c r="BM15" i="84"/>
  <c r="BE15" i="84"/>
  <c r="AW15" i="84"/>
  <c r="AO15" i="84"/>
  <c r="BL15" i="84"/>
  <c r="BD15" i="84"/>
  <c r="AV15" i="84"/>
  <c r="AN15" i="84"/>
  <c r="BK15" i="84"/>
  <c r="BC15" i="84"/>
  <c r="AU15" i="84"/>
  <c r="AM15" i="84"/>
  <c r="BJ15" i="84"/>
  <c r="BB15" i="84"/>
  <c r="AT15" i="84"/>
  <c r="AK15" i="84"/>
  <c r="BI15" i="84"/>
  <c r="BA15" i="84"/>
  <c r="AS15" i="84"/>
  <c r="AJ15" i="84"/>
  <c r="BH15" i="84"/>
  <c r="AZ15" i="84"/>
  <c r="AR15" i="84"/>
  <c r="BG15" i="84"/>
  <c r="AY15" i="84"/>
  <c r="AQ15" i="84"/>
  <c r="BF15" i="84"/>
  <c r="AX15" i="84"/>
  <c r="AP15" i="84"/>
  <c r="AL15" i="84"/>
  <c r="DD16" i="86"/>
  <c r="CV16" i="86"/>
  <c r="CN16" i="86"/>
  <c r="CF16" i="86"/>
  <c r="DC16" i="86"/>
  <c r="CU16" i="86"/>
  <c r="CM16" i="86"/>
  <c r="CE16" i="86"/>
  <c r="DB16" i="86"/>
  <c r="CT16" i="86"/>
  <c r="CL16" i="86"/>
  <c r="CD16" i="86"/>
  <c r="DA16" i="86"/>
  <c r="CS16" i="86"/>
  <c r="CK16" i="86"/>
  <c r="CC16" i="86"/>
  <c r="CZ16" i="86"/>
  <c r="CR16" i="86"/>
  <c r="CJ16" i="86"/>
  <c r="CA16" i="86"/>
  <c r="CY16" i="86"/>
  <c r="CQ16" i="86"/>
  <c r="CI16" i="86"/>
  <c r="CO16" i="86"/>
  <c r="CG16" i="86"/>
  <c r="CX16" i="86"/>
  <c r="CW16" i="86"/>
  <c r="CP16" i="86"/>
  <c r="CH16" i="86"/>
  <c r="BI16" i="86"/>
  <c r="BA16" i="86"/>
  <c r="AS16" i="86"/>
  <c r="AJ16" i="86"/>
  <c r="BL16" i="86"/>
  <c r="BC16" i="86"/>
  <c r="AT16" i="86"/>
  <c r="BK16" i="86"/>
  <c r="BB16" i="86"/>
  <c r="AR16" i="86"/>
  <c r="BJ16" i="86"/>
  <c r="AX16" i="86"/>
  <c r="AM16" i="86"/>
  <c r="BH16" i="86"/>
  <c r="AW16" i="86"/>
  <c r="AL16" i="86"/>
  <c r="BG16" i="86"/>
  <c r="AV16" i="86"/>
  <c r="BF16" i="86"/>
  <c r="AU16" i="86"/>
  <c r="BE16" i="86"/>
  <c r="AQ16" i="86"/>
  <c r="BD16" i="86"/>
  <c r="AP16" i="86"/>
  <c r="AZ16" i="86"/>
  <c r="AO16" i="86"/>
  <c r="BM16" i="86"/>
  <c r="AY16" i="86"/>
  <c r="AN16" i="86"/>
  <c r="AD34" i="23"/>
  <c r="H62" i="89"/>
  <c r="J62" i="89" s="1"/>
  <c r="H61" i="89"/>
  <c r="J61" i="89" s="1"/>
  <c r="AL34" i="23"/>
  <c r="H62" i="91"/>
  <c r="J62" i="91" s="1"/>
  <c r="H61" i="91"/>
  <c r="J61" i="91" s="1"/>
  <c r="AP34" i="23"/>
  <c r="H62" i="92"/>
  <c r="J62" i="92" s="1"/>
  <c r="H61" i="92"/>
  <c r="J61" i="92" s="1"/>
  <c r="AT34" i="23"/>
  <c r="H61" i="93"/>
  <c r="J61" i="93" s="1"/>
  <c r="H62" i="93"/>
  <c r="J62" i="93" s="1"/>
  <c r="A12" i="95"/>
  <c r="BG22" i="43"/>
  <c r="D15" i="83"/>
  <c r="H3" i="23" s="1"/>
  <c r="B19" i="96"/>
  <c r="BT30" i="43"/>
  <c r="BU30" i="43" s="1"/>
  <c r="A17" i="87"/>
  <c r="Q3" i="25"/>
  <c r="AL3" i="23"/>
  <c r="A17" i="90"/>
  <c r="D15" i="91"/>
  <c r="T3" i="25" s="1"/>
  <c r="D15" i="84"/>
  <c r="L3" i="23" s="1"/>
  <c r="J3" i="23"/>
  <c r="AD3" i="23"/>
  <c r="G3" i="25"/>
  <c r="A17" i="86"/>
  <c r="D15" i="85"/>
  <c r="N3" i="23"/>
  <c r="Q3" i="24"/>
  <c r="A17" i="93"/>
  <c r="Z4" i="25"/>
  <c r="AS4" i="23"/>
  <c r="AO5" i="23"/>
  <c r="U5" i="25"/>
  <c r="AO4" i="23"/>
  <c r="U4" i="25"/>
  <c r="B16" i="92"/>
  <c r="B16" i="91"/>
  <c r="P4" i="25"/>
  <c r="AK4" i="23"/>
  <c r="F4" i="25"/>
  <c r="AC4" i="23"/>
  <c r="U5" i="23"/>
  <c r="Z5" i="24"/>
  <c r="U4" i="23"/>
  <c r="Z4" i="24"/>
  <c r="Q5" i="23"/>
  <c r="U5" i="24"/>
  <c r="U4" i="24"/>
  <c r="Q4" i="23"/>
  <c r="A17" i="85"/>
  <c r="P4" i="24"/>
  <c r="M4" i="23"/>
  <c r="I4" i="23"/>
  <c r="K4" i="24"/>
  <c r="L3" i="24"/>
  <c r="B16" i="83"/>
  <c r="E4" i="23"/>
  <c r="F4" i="24"/>
  <c r="H48" i="85"/>
  <c r="H49" i="87"/>
  <c r="V4" i="24"/>
  <c r="R4" i="23"/>
  <c r="R3" i="23"/>
  <c r="V3" i="24"/>
  <c r="G3" i="24"/>
  <c r="AA4" i="24"/>
  <c r="V4" i="23"/>
  <c r="V3" i="23"/>
  <c r="AA3" i="24"/>
  <c r="V3" i="25"/>
  <c r="AP3" i="23"/>
  <c r="AA4" i="25"/>
  <c r="AT4" i="23"/>
  <c r="J3" i="25"/>
  <c r="AF3" i="23"/>
  <c r="AP4" i="23"/>
  <c r="AA3" i="25"/>
  <c r="AT3" i="23"/>
  <c r="AE21" i="43"/>
  <c r="A11" i="49"/>
  <c r="AS21" i="43"/>
  <c r="A11" i="48"/>
  <c r="Q21" i="43"/>
  <c r="A11" i="47"/>
  <c r="H47" i="88"/>
  <c r="H48" i="83"/>
  <c r="H49" i="86"/>
  <c r="L4" i="25"/>
  <c r="AH4" i="23"/>
  <c r="K4" i="25"/>
  <c r="AG4" i="23"/>
  <c r="L3" i="25"/>
  <c r="AH3" i="23"/>
  <c r="K5" i="25"/>
  <c r="AG5" i="23"/>
  <c r="H48" i="90"/>
  <c r="Z3" i="23"/>
  <c r="B3" i="25"/>
  <c r="Y4" i="23"/>
  <c r="A4" i="25"/>
  <c r="H49" i="84"/>
  <c r="F3" i="23"/>
  <c r="D15" i="87"/>
  <c r="F12" i="50"/>
  <c r="U57" i="84"/>
  <c r="U48" i="85" s="1"/>
  <c r="D83" i="85"/>
  <c r="D83" i="83"/>
  <c r="D83" i="92"/>
  <c r="D84" i="91"/>
  <c r="H52" i="91"/>
  <c r="I55" i="91" s="1"/>
  <c r="A17" i="91"/>
  <c r="D15" i="93"/>
  <c r="D84" i="93"/>
  <c r="H52" i="93" s="1"/>
  <c r="I55" i="93" s="1"/>
  <c r="D83" i="90"/>
  <c r="D84" i="89"/>
  <c r="H52" i="89" s="1"/>
  <c r="I55" i="89" s="1"/>
  <c r="D15" i="92"/>
  <c r="D84" i="87"/>
  <c r="D15" i="86"/>
  <c r="D84" i="86"/>
  <c r="D82" i="88"/>
  <c r="D84" i="84"/>
  <c r="B16" i="85"/>
  <c r="D16" i="93"/>
  <c r="B17" i="92"/>
  <c r="A18" i="92"/>
  <c r="D16" i="92"/>
  <c r="D16" i="90"/>
  <c r="A18" i="90"/>
  <c r="B17" i="90"/>
  <c r="D15" i="90"/>
  <c r="B16" i="89"/>
  <c r="A17" i="89"/>
  <c r="A17" i="88"/>
  <c r="B16" i="88"/>
  <c r="D15" i="88"/>
  <c r="B17" i="87"/>
  <c r="A18" i="87"/>
  <c r="D16" i="87"/>
  <c r="A18" i="86"/>
  <c r="B17" i="86"/>
  <c r="D16" i="86"/>
  <c r="B16" i="84"/>
  <c r="A17" i="84"/>
  <c r="A17" i="83"/>
  <c r="J65" i="89" l="1"/>
  <c r="I49" i="89" s="1"/>
  <c r="I52" i="89" s="1"/>
  <c r="BO15" i="92"/>
  <c r="CE16" i="88"/>
  <c r="CN16" i="88"/>
  <c r="CV16" i="88"/>
  <c r="DD16" i="88"/>
  <c r="CF16" i="88"/>
  <c r="CO16" i="88"/>
  <c r="CW16" i="88"/>
  <c r="CG16" i="88"/>
  <c r="CP16" i="88"/>
  <c r="CX16" i="88"/>
  <c r="CH16" i="88"/>
  <c r="CQ16" i="88"/>
  <c r="CY16" i="88"/>
  <c r="CI16" i="88"/>
  <c r="CR16" i="88"/>
  <c r="CZ16" i="88"/>
  <c r="CB16" i="88"/>
  <c r="CJ16" i="88"/>
  <c r="CS16" i="88"/>
  <c r="DA16" i="88"/>
  <c r="CC16" i="88"/>
  <c r="CL16" i="88"/>
  <c r="CT16" i="88"/>
  <c r="DB16" i="88"/>
  <c r="CD16" i="88"/>
  <c r="CM16" i="88"/>
  <c r="CU16" i="88"/>
  <c r="DC16" i="88"/>
  <c r="AM16" i="88"/>
  <c r="AV16" i="88"/>
  <c r="BD16" i="88"/>
  <c r="BL16" i="88"/>
  <c r="AN16" i="88"/>
  <c r="AW16" i="88"/>
  <c r="BE16" i="88"/>
  <c r="BM16" i="88"/>
  <c r="AO16" i="88"/>
  <c r="AX16" i="88"/>
  <c r="BF16" i="88"/>
  <c r="AP16" i="88"/>
  <c r="AY16" i="88"/>
  <c r="BG16" i="88"/>
  <c r="AQ16" i="88"/>
  <c r="AZ16" i="88"/>
  <c r="BH16" i="88"/>
  <c r="AR16" i="88"/>
  <c r="BA16" i="88"/>
  <c r="BI16" i="88"/>
  <c r="AK16" i="88"/>
  <c r="AS16" i="88"/>
  <c r="BB16" i="88"/>
  <c r="BJ16" i="88"/>
  <c r="AL16" i="88"/>
  <c r="AU16" i="88"/>
  <c r="BC16" i="88"/>
  <c r="BK16" i="88"/>
  <c r="AJ16" i="88"/>
  <c r="CK16" i="88"/>
  <c r="AT16" i="88"/>
  <c r="BJ16" i="91"/>
  <c r="BB16" i="91"/>
  <c r="AT16" i="91"/>
  <c r="AL16" i="91"/>
  <c r="BI16" i="91"/>
  <c r="BA16" i="91"/>
  <c r="AS16" i="91"/>
  <c r="AK16" i="91"/>
  <c r="BH16" i="91"/>
  <c r="AZ16" i="91"/>
  <c r="AR16" i="91"/>
  <c r="AJ16" i="91"/>
  <c r="BG16" i="91"/>
  <c r="AY16" i="91"/>
  <c r="AQ16" i="91"/>
  <c r="BF16" i="91"/>
  <c r="AX16" i="91"/>
  <c r="AP16" i="91"/>
  <c r="BM16" i="91"/>
  <c r="BE16" i="91"/>
  <c r="AW16" i="91"/>
  <c r="AO16" i="91"/>
  <c r="BL16" i="91"/>
  <c r="BD16" i="91"/>
  <c r="AV16" i="91"/>
  <c r="AN16" i="91"/>
  <c r="BK16" i="91"/>
  <c r="BC16" i="91"/>
  <c r="AU16" i="91"/>
  <c r="AM16" i="91"/>
  <c r="CW16" i="91"/>
  <c r="CO16" i="91"/>
  <c r="CG16" i="91"/>
  <c r="DD16" i="91"/>
  <c r="CV16" i="91"/>
  <c r="CN16" i="91"/>
  <c r="CF16" i="91"/>
  <c r="DB16" i="91"/>
  <c r="CT16" i="91"/>
  <c r="CL16" i="91"/>
  <c r="CD16" i="91"/>
  <c r="DA16" i="91"/>
  <c r="CS16" i="91"/>
  <c r="CK16" i="91"/>
  <c r="CC16" i="91"/>
  <c r="CZ16" i="91"/>
  <c r="CR16" i="91"/>
  <c r="CJ16" i="91"/>
  <c r="CB16" i="91"/>
  <c r="CY16" i="91"/>
  <c r="CQ16" i="91"/>
  <c r="CI16" i="91"/>
  <c r="CA16" i="91"/>
  <c r="CE16" i="91"/>
  <c r="DC16" i="91"/>
  <c r="CX16" i="91"/>
  <c r="CU16" i="91"/>
  <c r="CP16" i="91"/>
  <c r="CM16" i="91"/>
  <c r="CH16" i="91"/>
  <c r="DD16" i="92"/>
  <c r="CV16" i="92"/>
  <c r="CN16" i="92"/>
  <c r="CE16" i="92"/>
  <c r="DC16" i="92"/>
  <c r="CU16" i="92"/>
  <c r="CM16" i="92"/>
  <c r="CD16" i="92"/>
  <c r="DB16" i="92"/>
  <c r="CT16" i="92"/>
  <c r="CL16" i="92"/>
  <c r="CC16" i="92"/>
  <c r="DA16" i="92"/>
  <c r="CS16" i="92"/>
  <c r="CK16" i="92"/>
  <c r="CB16" i="92"/>
  <c r="CZ16" i="92"/>
  <c r="CR16" i="92"/>
  <c r="CJ16" i="92"/>
  <c r="CA16" i="92"/>
  <c r="CY16" i="92"/>
  <c r="CQ16" i="92"/>
  <c r="CI16" i="92"/>
  <c r="CX16" i="92"/>
  <c r="CP16" i="92"/>
  <c r="CH16" i="92"/>
  <c r="CF16" i="92"/>
  <c r="CW16" i="92"/>
  <c r="CO16" i="92"/>
  <c r="BK16" i="92"/>
  <c r="BC16" i="92"/>
  <c r="AU16" i="92"/>
  <c r="AL16" i="92"/>
  <c r="BD16" i="92"/>
  <c r="BJ16" i="92"/>
  <c r="BB16" i="92"/>
  <c r="AT16" i="92"/>
  <c r="AK16" i="92"/>
  <c r="BI16" i="92"/>
  <c r="BA16" i="92"/>
  <c r="AS16" i="92"/>
  <c r="AJ16" i="92"/>
  <c r="BH16" i="92"/>
  <c r="AZ16" i="92"/>
  <c r="AR16" i="92"/>
  <c r="AV16" i="92"/>
  <c r="BG16" i="92"/>
  <c r="AY16" i="92"/>
  <c r="AQ16" i="92"/>
  <c r="BL16" i="92"/>
  <c r="BF16" i="92"/>
  <c r="AX16" i="92"/>
  <c r="AO16" i="92"/>
  <c r="BM16" i="92"/>
  <c r="BE16" i="92"/>
  <c r="AW16" i="92"/>
  <c r="AN16" i="92"/>
  <c r="AM16" i="92"/>
  <c r="CG16" i="92"/>
  <c r="AP16" i="92"/>
  <c r="CY16" i="89"/>
  <c r="CQ16" i="89"/>
  <c r="CI16" i="89"/>
  <c r="DD16" i="89"/>
  <c r="CV16" i="89"/>
  <c r="CN16" i="89"/>
  <c r="CF16" i="89"/>
  <c r="CW16" i="89"/>
  <c r="CL16" i="89"/>
  <c r="CB16" i="89"/>
  <c r="CU16" i="89"/>
  <c r="CK16" i="89"/>
  <c r="CT16" i="89"/>
  <c r="CJ16" i="89"/>
  <c r="DC16" i="89"/>
  <c r="CS16" i="89"/>
  <c r="CH16" i="89"/>
  <c r="DB16" i="89"/>
  <c r="CR16" i="89"/>
  <c r="CG16" i="89"/>
  <c r="DA16" i="89"/>
  <c r="CP16" i="89"/>
  <c r="CE16" i="89"/>
  <c r="CZ16" i="89"/>
  <c r="CO16" i="89"/>
  <c r="CD16" i="89"/>
  <c r="CX16" i="89"/>
  <c r="CM16" i="89"/>
  <c r="CC16" i="89"/>
  <c r="BJ16" i="89"/>
  <c r="BB16" i="89"/>
  <c r="AT16" i="89"/>
  <c r="AL16" i="89"/>
  <c r="BI16" i="89"/>
  <c r="BA16" i="89"/>
  <c r="AS16" i="89"/>
  <c r="AK16" i="89"/>
  <c r="BH16" i="89"/>
  <c r="AZ16" i="89"/>
  <c r="AR16" i="89"/>
  <c r="BG16" i="89"/>
  <c r="AY16" i="89"/>
  <c r="AQ16" i="89"/>
  <c r="BF16" i="89"/>
  <c r="AX16" i="89"/>
  <c r="AP16" i="89"/>
  <c r="BM16" i="89"/>
  <c r="BE16" i="89"/>
  <c r="AW16" i="89"/>
  <c r="AO16" i="89"/>
  <c r="BL16" i="89"/>
  <c r="BD16" i="89"/>
  <c r="AV16" i="89"/>
  <c r="AN16" i="89"/>
  <c r="BC16" i="89"/>
  <c r="AU16" i="89"/>
  <c r="AM16" i="89"/>
  <c r="BK16" i="89"/>
  <c r="AJ16" i="89"/>
  <c r="BN15" i="92"/>
  <c r="DA17" i="90"/>
  <c r="CS17" i="90"/>
  <c r="CK17" i="90"/>
  <c r="CC17" i="90"/>
  <c r="CZ17" i="90"/>
  <c r="CR17" i="90"/>
  <c r="CJ17" i="90"/>
  <c r="CB17" i="90"/>
  <c r="CY17" i="90"/>
  <c r="CQ17" i="90"/>
  <c r="CI17" i="90"/>
  <c r="CA17" i="90"/>
  <c r="CX17" i="90"/>
  <c r="CP17" i="90"/>
  <c r="CH17" i="90"/>
  <c r="CW17" i="90"/>
  <c r="CO17" i="90"/>
  <c r="CG17" i="90"/>
  <c r="DD17" i="90"/>
  <c r="CV17" i="90"/>
  <c r="CN17" i="90"/>
  <c r="CF17" i="90"/>
  <c r="DC17" i="90"/>
  <c r="CU17" i="90"/>
  <c r="CM17" i="90"/>
  <c r="CE17" i="90"/>
  <c r="CD17" i="90"/>
  <c r="CT17" i="90"/>
  <c r="CL17" i="90"/>
  <c r="DB17" i="90"/>
  <c r="BL17" i="90"/>
  <c r="BD17" i="90"/>
  <c r="AV17" i="90"/>
  <c r="AN17" i="90"/>
  <c r="BM17" i="90"/>
  <c r="BK17" i="90"/>
  <c r="BC17" i="90"/>
  <c r="AU17" i="90"/>
  <c r="AM17" i="90"/>
  <c r="BB17" i="90"/>
  <c r="AL17" i="90"/>
  <c r="AP17" i="90"/>
  <c r="BJ17" i="90"/>
  <c r="AT17" i="90"/>
  <c r="AW17" i="90"/>
  <c r="BI17" i="90"/>
  <c r="BA17" i="90"/>
  <c r="AS17" i="90"/>
  <c r="AK17" i="90"/>
  <c r="AZ17" i="90"/>
  <c r="BH17" i="90"/>
  <c r="AR17" i="90"/>
  <c r="AJ17" i="90"/>
  <c r="BE17" i="90"/>
  <c r="BG17" i="90"/>
  <c r="AY17" i="90"/>
  <c r="AQ17" i="90"/>
  <c r="BF17" i="90"/>
  <c r="AX17" i="90"/>
  <c r="AO17" i="90"/>
  <c r="CY17" i="92"/>
  <c r="CQ17" i="92"/>
  <c r="CI17" i="92"/>
  <c r="CX17" i="92"/>
  <c r="CP17" i="92"/>
  <c r="CG17" i="92"/>
  <c r="CW17" i="92"/>
  <c r="CO17" i="92"/>
  <c r="CF17" i="92"/>
  <c r="DD17" i="92"/>
  <c r="CV17" i="92"/>
  <c r="CN17" i="92"/>
  <c r="CE17" i="92"/>
  <c r="DC17" i="92"/>
  <c r="CU17" i="92"/>
  <c r="CM17" i="92"/>
  <c r="CD17" i="92"/>
  <c r="DB17" i="92"/>
  <c r="CT17" i="92"/>
  <c r="CL17" i="92"/>
  <c r="CC17" i="92"/>
  <c r="DA17" i="92"/>
  <c r="CS17" i="92"/>
  <c r="CK17" i="92"/>
  <c r="CB17" i="92"/>
  <c r="CZ17" i="92"/>
  <c r="CR17" i="92"/>
  <c r="CJ17" i="92"/>
  <c r="CA17" i="92"/>
  <c r="BF17" i="92"/>
  <c r="AX17" i="92"/>
  <c r="AO17" i="92"/>
  <c r="BM17" i="92"/>
  <c r="BE17" i="92"/>
  <c r="AW17" i="92"/>
  <c r="AN17" i="92"/>
  <c r="BL17" i="92"/>
  <c r="BD17" i="92"/>
  <c r="AV17" i="92"/>
  <c r="AM17" i="92"/>
  <c r="AY17" i="92"/>
  <c r="BK17" i="92"/>
  <c r="BC17" i="92"/>
  <c r="AU17" i="92"/>
  <c r="AL17" i="92"/>
  <c r="BJ17" i="92"/>
  <c r="BB17" i="92"/>
  <c r="AT17" i="92"/>
  <c r="AK17" i="92"/>
  <c r="BI17" i="92"/>
  <c r="BA17" i="92"/>
  <c r="AS17" i="92"/>
  <c r="AJ17" i="92"/>
  <c r="BG17" i="92"/>
  <c r="BH17" i="92"/>
  <c r="AZ17" i="92"/>
  <c r="AR17" i="92"/>
  <c r="AP17" i="92"/>
  <c r="CH17" i="92"/>
  <c r="AQ17" i="92"/>
  <c r="CY17" i="87"/>
  <c r="CQ17" i="87"/>
  <c r="CI17" i="87"/>
  <c r="CA17" i="87"/>
  <c r="CX17" i="87"/>
  <c r="CP17" i="87"/>
  <c r="CH17" i="87"/>
  <c r="CW17" i="87"/>
  <c r="CO17" i="87"/>
  <c r="CG17" i="87"/>
  <c r="DD17" i="87"/>
  <c r="CV17" i="87"/>
  <c r="CN17" i="87"/>
  <c r="CF17" i="87"/>
  <c r="DC17" i="87"/>
  <c r="CU17" i="87"/>
  <c r="CM17" i="87"/>
  <c r="CE17" i="87"/>
  <c r="DB17" i="87"/>
  <c r="CT17" i="87"/>
  <c r="CL17" i="87"/>
  <c r="CD17" i="87"/>
  <c r="DA17" i="87"/>
  <c r="CS17" i="87"/>
  <c r="CK17" i="87"/>
  <c r="CC17" i="87"/>
  <c r="CZ17" i="87"/>
  <c r="CR17" i="87"/>
  <c r="CJ17" i="87"/>
  <c r="CB17" i="87"/>
  <c r="BG17" i="87"/>
  <c r="AY17" i="87"/>
  <c r="AQ17" i="87"/>
  <c r="BF17" i="87"/>
  <c r="AX17" i="87"/>
  <c r="AP17" i="87"/>
  <c r="BM17" i="87"/>
  <c r="BE17" i="87"/>
  <c r="AW17" i="87"/>
  <c r="AO17" i="87"/>
  <c r="BL17" i="87"/>
  <c r="BD17" i="87"/>
  <c r="AV17" i="87"/>
  <c r="AN17" i="87"/>
  <c r="BK17" i="87"/>
  <c r="BC17" i="87"/>
  <c r="AU17" i="87"/>
  <c r="AM17" i="87"/>
  <c r="BJ17" i="87"/>
  <c r="BB17" i="87"/>
  <c r="AT17" i="87"/>
  <c r="AL17" i="87"/>
  <c r="BI17" i="87"/>
  <c r="BA17" i="87"/>
  <c r="AS17" i="87"/>
  <c r="AK17" i="87"/>
  <c r="BH17" i="87"/>
  <c r="AZ17" i="87"/>
  <c r="AR17" i="87"/>
  <c r="AJ17" i="87"/>
  <c r="CY16" i="85"/>
  <c r="CQ16" i="85"/>
  <c r="CI16" i="85"/>
  <c r="CA16" i="85"/>
  <c r="CV16" i="85"/>
  <c r="CM16" i="85"/>
  <c r="CD16" i="85"/>
  <c r="DD16" i="85"/>
  <c r="CU16" i="85"/>
  <c r="CL16" i="85"/>
  <c r="CC16" i="85"/>
  <c r="DC16" i="85"/>
  <c r="CT16" i="85"/>
  <c r="CK16" i="85"/>
  <c r="CB16" i="85"/>
  <c r="DB16" i="85"/>
  <c r="CS16" i="85"/>
  <c r="CJ16" i="85"/>
  <c r="DA16" i="85"/>
  <c r="CR16" i="85"/>
  <c r="CH16" i="85"/>
  <c r="CZ16" i="85"/>
  <c r="CP16" i="85"/>
  <c r="CG16" i="85"/>
  <c r="CX16" i="85"/>
  <c r="CO16" i="85"/>
  <c r="CF16" i="85"/>
  <c r="CW16" i="85"/>
  <c r="CN16" i="85"/>
  <c r="CE16" i="85"/>
  <c r="BJ16" i="85"/>
  <c r="BB16" i="85"/>
  <c r="AT16" i="85"/>
  <c r="AL16" i="85"/>
  <c r="BI16" i="85"/>
  <c r="BA16" i="85"/>
  <c r="AS16" i="85"/>
  <c r="AK16" i="85"/>
  <c r="BH16" i="85"/>
  <c r="AZ16" i="85"/>
  <c r="AR16" i="85"/>
  <c r="AJ16" i="85"/>
  <c r="BG16" i="85"/>
  <c r="AY16" i="85"/>
  <c r="AQ16" i="85"/>
  <c r="BF16" i="85"/>
  <c r="AX16" i="85"/>
  <c r="AP16" i="85"/>
  <c r="BM16" i="85"/>
  <c r="BE16" i="85"/>
  <c r="AW16" i="85"/>
  <c r="AO16" i="85"/>
  <c r="BL16" i="85"/>
  <c r="BD16" i="85"/>
  <c r="AV16" i="85"/>
  <c r="AN16" i="85"/>
  <c r="BK16" i="85"/>
  <c r="BC16" i="85"/>
  <c r="AU16" i="85"/>
  <c r="AM16" i="85"/>
  <c r="CW16" i="84"/>
  <c r="CO16" i="84"/>
  <c r="CG16" i="84"/>
  <c r="DC16" i="84"/>
  <c r="CT16" i="84"/>
  <c r="CK16" i="84"/>
  <c r="CA16" i="84"/>
  <c r="DB16" i="84"/>
  <c r="CS16" i="84"/>
  <c r="CJ16" i="84"/>
  <c r="CY16" i="84"/>
  <c r="CP16" i="84"/>
  <c r="CF16" i="84"/>
  <c r="CR16" i="84"/>
  <c r="CC16" i="84"/>
  <c r="CQ16" i="84"/>
  <c r="CB16" i="84"/>
  <c r="DD16" i="84"/>
  <c r="CN16" i="84"/>
  <c r="DA16" i="84"/>
  <c r="CM16" i="84"/>
  <c r="CZ16" i="84"/>
  <c r="CL16" i="84"/>
  <c r="CX16" i="84"/>
  <c r="CI16" i="84"/>
  <c r="CV16" i="84"/>
  <c r="CH16" i="84"/>
  <c r="CU16" i="84"/>
  <c r="CE16" i="84"/>
  <c r="BH16" i="84"/>
  <c r="AZ16" i="84"/>
  <c r="AR16" i="84"/>
  <c r="BG16" i="84"/>
  <c r="AY16" i="84"/>
  <c r="AQ16" i="84"/>
  <c r="BF16" i="84"/>
  <c r="AX16" i="84"/>
  <c r="AP16" i="84"/>
  <c r="BM16" i="84"/>
  <c r="BE16" i="84"/>
  <c r="AW16" i="84"/>
  <c r="AO16" i="84"/>
  <c r="BL16" i="84"/>
  <c r="BD16" i="84"/>
  <c r="AV16" i="84"/>
  <c r="AN16" i="84"/>
  <c r="BK16" i="84"/>
  <c r="BC16" i="84"/>
  <c r="AU16" i="84"/>
  <c r="AL16" i="84"/>
  <c r="BJ16" i="84"/>
  <c r="BB16" i="84"/>
  <c r="AT16" i="84"/>
  <c r="AK16" i="84"/>
  <c r="BI16" i="84"/>
  <c r="BA16" i="84"/>
  <c r="AS16" i="84"/>
  <c r="AJ16" i="84"/>
  <c r="AM16" i="84"/>
  <c r="CD16" i="84"/>
  <c r="CY17" i="86"/>
  <c r="CQ17" i="86"/>
  <c r="CI17" i="86"/>
  <c r="CX17" i="86"/>
  <c r="CP17" i="86"/>
  <c r="CH17" i="86"/>
  <c r="CW17" i="86"/>
  <c r="CO17" i="86"/>
  <c r="CG17" i="86"/>
  <c r="DD17" i="86"/>
  <c r="CV17" i="86"/>
  <c r="CN17" i="86"/>
  <c r="CF17" i="86"/>
  <c r="DC17" i="86"/>
  <c r="CU17" i="86"/>
  <c r="CM17" i="86"/>
  <c r="CE17" i="86"/>
  <c r="DB17" i="86"/>
  <c r="CT17" i="86"/>
  <c r="CL17" i="86"/>
  <c r="CD17" i="86"/>
  <c r="CR17" i="86"/>
  <c r="CJ17" i="86"/>
  <c r="CB17" i="86"/>
  <c r="CA17" i="86"/>
  <c r="DA17" i="86"/>
  <c r="CZ17" i="86"/>
  <c r="CS17" i="86"/>
  <c r="CK17" i="86"/>
  <c r="BL17" i="86"/>
  <c r="BD17" i="86"/>
  <c r="AV17" i="86"/>
  <c r="AN17" i="86"/>
  <c r="BJ17" i="86"/>
  <c r="BA17" i="86"/>
  <c r="AR17" i="86"/>
  <c r="BI17" i="86"/>
  <c r="AZ17" i="86"/>
  <c r="AQ17" i="86"/>
  <c r="BH17" i="86"/>
  <c r="AY17" i="86"/>
  <c r="AP17" i="86"/>
  <c r="BG17" i="86"/>
  <c r="AX17" i="86"/>
  <c r="AO17" i="86"/>
  <c r="AW17" i="86"/>
  <c r="AU17" i="86"/>
  <c r="BM17" i="86"/>
  <c r="AT17" i="86"/>
  <c r="BK17" i="86"/>
  <c r="AS17" i="86"/>
  <c r="BF17" i="86"/>
  <c r="AM17" i="86"/>
  <c r="BE17" i="86"/>
  <c r="AK17" i="86"/>
  <c r="BC17" i="86"/>
  <c r="AJ17" i="86"/>
  <c r="BB17" i="86"/>
  <c r="AL17" i="86"/>
  <c r="AJ16" i="83"/>
  <c r="AS16" i="83"/>
  <c r="BA16" i="83"/>
  <c r="BI16" i="83"/>
  <c r="AN16" i="83"/>
  <c r="AW16" i="83"/>
  <c r="BF16" i="83"/>
  <c r="CG16" i="83"/>
  <c r="CO16" i="83"/>
  <c r="CW16" i="83"/>
  <c r="CQ16" i="83"/>
  <c r="AO16" i="83"/>
  <c r="AX16" i="83"/>
  <c r="BG16" i="83"/>
  <c r="CH16" i="83"/>
  <c r="CP16" i="83"/>
  <c r="CX16" i="83"/>
  <c r="CY16" i="83"/>
  <c r="AP16" i="83"/>
  <c r="AY16" i="83"/>
  <c r="BH16" i="83"/>
  <c r="CI16" i="83"/>
  <c r="AQ16" i="83"/>
  <c r="AZ16" i="83"/>
  <c r="BJ16" i="83"/>
  <c r="CA16" i="83"/>
  <c r="CJ16" i="83"/>
  <c r="CR16" i="83"/>
  <c r="CZ16" i="83"/>
  <c r="AR16" i="83"/>
  <c r="BB16" i="83"/>
  <c r="BK16" i="83"/>
  <c r="CC16" i="83"/>
  <c r="CK16" i="83"/>
  <c r="CS16" i="83"/>
  <c r="DA16" i="83"/>
  <c r="AU16" i="83"/>
  <c r="CN16" i="83"/>
  <c r="AV16" i="83"/>
  <c r="CT16" i="83"/>
  <c r="BC16" i="83"/>
  <c r="CU16" i="83"/>
  <c r="BD16" i="83"/>
  <c r="CD16" i="83"/>
  <c r="CV16" i="83"/>
  <c r="BE16" i="83"/>
  <c r="CE16" i="83"/>
  <c r="DB16" i="83"/>
  <c r="AL16" i="83"/>
  <c r="BL16" i="83"/>
  <c r="CF16" i="83"/>
  <c r="DC16" i="83"/>
  <c r="AM16" i="83"/>
  <c r="BM16" i="83"/>
  <c r="CL16" i="83"/>
  <c r="DD16" i="83"/>
  <c r="AT16" i="83"/>
  <c r="CM16" i="83"/>
  <c r="J65" i="92"/>
  <c r="I48" i="92" s="1"/>
  <c r="J65" i="93"/>
  <c r="I49" i="93" s="1"/>
  <c r="I52" i="93" s="1"/>
  <c r="C21" i="50" s="1"/>
  <c r="J65" i="91"/>
  <c r="I49" i="91" s="1"/>
  <c r="I52" i="91" s="1"/>
  <c r="F34" i="23"/>
  <c r="H61" i="83"/>
  <c r="J61" i="83" s="1"/>
  <c r="H62" i="83"/>
  <c r="J62" i="83" s="1"/>
  <c r="H61" i="84"/>
  <c r="J61" i="84" s="1"/>
  <c r="H62" i="84"/>
  <c r="J62" i="84" s="1"/>
  <c r="N34" i="23"/>
  <c r="H61" i="85"/>
  <c r="J61" i="85" s="1"/>
  <c r="H62" i="85"/>
  <c r="J62" i="85" s="1"/>
  <c r="R34" i="23"/>
  <c r="H61" i="86"/>
  <c r="J61" i="86" s="1"/>
  <c r="H62" i="86"/>
  <c r="J62" i="86" s="1"/>
  <c r="V34" i="23"/>
  <c r="H61" i="87"/>
  <c r="J61" i="87" s="1"/>
  <c r="H62" i="87"/>
  <c r="J62" i="87" s="1"/>
  <c r="Z34" i="23"/>
  <c r="H63" i="88"/>
  <c r="J63" i="88" s="1"/>
  <c r="H62" i="88"/>
  <c r="J62" i="88" s="1"/>
  <c r="AH34" i="23"/>
  <c r="H60" i="90"/>
  <c r="J60" i="90" s="1"/>
  <c r="H61" i="90"/>
  <c r="J61" i="90" s="1"/>
  <c r="B12" i="95"/>
  <c r="BF23" i="43"/>
  <c r="B20" i="96"/>
  <c r="BT31" i="43"/>
  <c r="BU31" i="43" s="1"/>
  <c r="B21" i="96" s="1"/>
  <c r="H52" i="87"/>
  <c r="I55" i="87" s="1"/>
  <c r="AN3" i="23"/>
  <c r="D16" i="91"/>
  <c r="AL4" i="23"/>
  <c r="Q4" i="25"/>
  <c r="DE15" i="88"/>
  <c r="L15" i="88" s="1"/>
  <c r="X4" i="23"/>
  <c r="AD4" i="24" s="1"/>
  <c r="X3" i="23"/>
  <c r="DE15" i="87"/>
  <c r="L15" i="87" s="1"/>
  <c r="T3" i="23"/>
  <c r="T4" i="23"/>
  <c r="Y4" i="24" s="1"/>
  <c r="P3" i="23"/>
  <c r="BN15" i="88"/>
  <c r="K15" i="88" s="1"/>
  <c r="K15" i="92"/>
  <c r="V4" i="25"/>
  <c r="BN15" i="87"/>
  <c r="K15" i="87" s="1"/>
  <c r="Z5" i="25"/>
  <c r="AS5" i="23"/>
  <c r="B17" i="93"/>
  <c r="A18" i="93"/>
  <c r="U6" i="25"/>
  <c r="AO6" i="23"/>
  <c r="AK5" i="23"/>
  <c r="P5" i="25"/>
  <c r="A18" i="91"/>
  <c r="A19" i="91" s="1"/>
  <c r="B17" i="91"/>
  <c r="F5" i="25"/>
  <c r="AC5" i="23"/>
  <c r="U6" i="23"/>
  <c r="Z6" i="24"/>
  <c r="Q6" i="23"/>
  <c r="U6" i="24"/>
  <c r="H51" i="85"/>
  <c r="I54" i="85" s="1"/>
  <c r="A18" i="85"/>
  <c r="P5" i="24"/>
  <c r="M5" i="23"/>
  <c r="B17" i="85"/>
  <c r="I5" i="23"/>
  <c r="K5" i="24"/>
  <c r="B17" i="83"/>
  <c r="E5" i="23"/>
  <c r="F5" i="24"/>
  <c r="V5" i="24"/>
  <c r="R5" i="23"/>
  <c r="Q4" i="24"/>
  <c r="N4" i="23"/>
  <c r="L4" i="24"/>
  <c r="J4" i="23"/>
  <c r="F4" i="23"/>
  <c r="G4" i="24"/>
  <c r="AV3" i="23"/>
  <c r="AD3" i="25"/>
  <c r="AR4" i="23"/>
  <c r="Y4" i="25"/>
  <c r="Y3" i="25"/>
  <c r="AR3" i="23"/>
  <c r="AD4" i="23"/>
  <c r="G4" i="25"/>
  <c r="V5" i="23"/>
  <c r="AA5" i="24"/>
  <c r="V5" i="25"/>
  <c r="AP5" i="23"/>
  <c r="AD4" i="25"/>
  <c r="AV4" i="23"/>
  <c r="AR22" i="43"/>
  <c r="B11" i="48"/>
  <c r="AD22" i="43"/>
  <c r="B11" i="49"/>
  <c r="P22" i="43"/>
  <c r="B11" i="47"/>
  <c r="H52" i="84"/>
  <c r="I55" i="84" s="1"/>
  <c r="J34" i="23"/>
  <c r="C17" i="50"/>
  <c r="H50" i="88"/>
  <c r="I53" i="88" s="1"/>
  <c r="AH5" i="23"/>
  <c r="L5" i="25"/>
  <c r="AJ3" i="23"/>
  <c r="O3" i="25"/>
  <c r="AG6" i="23"/>
  <c r="K6" i="25"/>
  <c r="AJ4" i="23"/>
  <c r="O4" i="25"/>
  <c r="Z4" i="23"/>
  <c r="B4" i="25"/>
  <c r="A5" i="25"/>
  <c r="Y5" i="23"/>
  <c r="E3" i="25"/>
  <c r="AB3" i="23"/>
  <c r="BO15" i="87"/>
  <c r="F13" i="50"/>
  <c r="U56" i="85"/>
  <c r="U49" i="86" s="1"/>
  <c r="H51" i="92"/>
  <c r="H51" i="90"/>
  <c r="I54" i="90" s="1"/>
  <c r="H52" i="86"/>
  <c r="I55" i="86" s="1"/>
  <c r="D16" i="85"/>
  <c r="B18" i="92"/>
  <c r="A19" i="92"/>
  <c r="D17" i="92"/>
  <c r="D17" i="90"/>
  <c r="A19" i="90"/>
  <c r="B18" i="90"/>
  <c r="B17" i="89"/>
  <c r="A18" i="89"/>
  <c r="D16" i="89"/>
  <c r="D16" i="88"/>
  <c r="A18" i="88"/>
  <c r="B17" i="88"/>
  <c r="A19" i="87"/>
  <c r="B18" i="87"/>
  <c r="D17" i="87"/>
  <c r="D17" i="86"/>
  <c r="H51" i="83"/>
  <c r="A19" i="86"/>
  <c r="B18" i="86"/>
  <c r="B17" i="84"/>
  <c r="A18" i="84"/>
  <c r="D16" i="84"/>
  <c r="L4" i="23" s="1"/>
  <c r="O4" i="24" s="1"/>
  <c r="A18" i="83"/>
  <c r="D16" i="83"/>
  <c r="H4" i="23" s="1"/>
  <c r="J4" i="24" s="1"/>
  <c r="BN16" i="92" l="1"/>
  <c r="DB17" i="89"/>
  <c r="CT17" i="89"/>
  <c r="CL17" i="89"/>
  <c r="CD17" i="89"/>
  <c r="DA17" i="89"/>
  <c r="CS17" i="89"/>
  <c r="CY17" i="89"/>
  <c r="CQ17" i="89"/>
  <c r="CI17" i="89"/>
  <c r="DC17" i="89"/>
  <c r="CO17" i="89"/>
  <c r="CE17" i="89"/>
  <c r="CZ17" i="89"/>
  <c r="CN17" i="89"/>
  <c r="CC17" i="89"/>
  <c r="CX17" i="89"/>
  <c r="CM17" i="89"/>
  <c r="CA17" i="89"/>
  <c r="CW17" i="89"/>
  <c r="CK17" i="89"/>
  <c r="CV17" i="89"/>
  <c r="CJ17" i="89"/>
  <c r="CU17" i="89"/>
  <c r="CH17" i="89"/>
  <c r="CR17" i="89"/>
  <c r="CG17" i="89"/>
  <c r="DD17" i="89"/>
  <c r="CP17" i="89"/>
  <c r="CF17" i="89"/>
  <c r="BM17" i="89"/>
  <c r="BE17" i="89"/>
  <c r="AW17" i="89"/>
  <c r="AO17" i="89"/>
  <c r="BL17" i="89"/>
  <c r="BD17" i="89"/>
  <c r="AV17" i="89"/>
  <c r="AN17" i="89"/>
  <c r="BK17" i="89"/>
  <c r="BC17" i="89"/>
  <c r="AU17" i="89"/>
  <c r="AM17" i="89"/>
  <c r="BJ17" i="89"/>
  <c r="BB17" i="89"/>
  <c r="AT17" i="89"/>
  <c r="AL17" i="89"/>
  <c r="BI17" i="89"/>
  <c r="BA17" i="89"/>
  <c r="AS17" i="89"/>
  <c r="AJ17" i="89"/>
  <c r="BH17" i="89"/>
  <c r="AZ17" i="89"/>
  <c r="AR17" i="89"/>
  <c r="BG17" i="89"/>
  <c r="AY17" i="89"/>
  <c r="AQ17" i="89"/>
  <c r="BF17" i="89"/>
  <c r="AX17" i="89"/>
  <c r="AP17" i="89"/>
  <c r="DA18" i="87"/>
  <c r="CS18" i="87"/>
  <c r="CK18" i="87"/>
  <c r="CC18" i="87"/>
  <c r="CZ18" i="87"/>
  <c r="CR18" i="87"/>
  <c r="CJ18" i="87"/>
  <c r="CB18" i="87"/>
  <c r="CY18" i="87"/>
  <c r="CQ18" i="87"/>
  <c r="CI18" i="87"/>
  <c r="CA18" i="87"/>
  <c r="CX18" i="87"/>
  <c r="CP18" i="87"/>
  <c r="CH18" i="87"/>
  <c r="CW18" i="87"/>
  <c r="CO18" i="87"/>
  <c r="CG18" i="87"/>
  <c r="DD18" i="87"/>
  <c r="CV18" i="87"/>
  <c r="CN18" i="87"/>
  <c r="CF18" i="87"/>
  <c r="DC18" i="87"/>
  <c r="CU18" i="87"/>
  <c r="CM18" i="87"/>
  <c r="CE18" i="87"/>
  <c r="DB18" i="87"/>
  <c r="CT18" i="87"/>
  <c r="CL18" i="87"/>
  <c r="CD18" i="87"/>
  <c r="BI18" i="87"/>
  <c r="BA18" i="87"/>
  <c r="AS18" i="87"/>
  <c r="AK18" i="87"/>
  <c r="BH18" i="87"/>
  <c r="AZ18" i="87"/>
  <c r="AR18" i="87"/>
  <c r="AJ18" i="87"/>
  <c r="BG18" i="87"/>
  <c r="AY18" i="87"/>
  <c r="AQ18" i="87"/>
  <c r="BF18" i="87"/>
  <c r="AX18" i="87"/>
  <c r="AP18" i="87"/>
  <c r="BM18" i="87"/>
  <c r="BE18" i="87"/>
  <c r="AW18" i="87"/>
  <c r="AO18" i="87"/>
  <c r="BL18" i="87"/>
  <c r="BD18" i="87"/>
  <c r="AV18" i="87"/>
  <c r="AN18" i="87"/>
  <c r="BK18" i="87"/>
  <c r="BC18" i="87"/>
  <c r="AU18" i="87"/>
  <c r="AM18" i="87"/>
  <c r="BJ18" i="87"/>
  <c r="BB18" i="87"/>
  <c r="AT18" i="87"/>
  <c r="AL18" i="87"/>
  <c r="DC18" i="90"/>
  <c r="CU18" i="90"/>
  <c r="CM18" i="90"/>
  <c r="CE18" i="90"/>
  <c r="DB18" i="90"/>
  <c r="CT18" i="90"/>
  <c r="CL18" i="90"/>
  <c r="CD18" i="90"/>
  <c r="DA18" i="90"/>
  <c r="CS18" i="90"/>
  <c r="CK18" i="90"/>
  <c r="CC18" i="90"/>
  <c r="CZ18" i="90"/>
  <c r="CR18" i="90"/>
  <c r="CJ18" i="90"/>
  <c r="CB18" i="90"/>
  <c r="CY18" i="90"/>
  <c r="CQ18" i="90"/>
  <c r="CI18" i="90"/>
  <c r="CA18" i="90"/>
  <c r="CX18" i="90"/>
  <c r="CP18" i="90"/>
  <c r="CH18" i="90"/>
  <c r="CW18" i="90"/>
  <c r="CO18" i="90"/>
  <c r="CG18" i="90"/>
  <c r="DD18" i="90"/>
  <c r="CV18" i="90"/>
  <c r="CN18" i="90"/>
  <c r="CF18" i="90"/>
  <c r="BF18" i="90"/>
  <c r="AX18" i="90"/>
  <c r="AP18" i="90"/>
  <c r="BM18" i="90"/>
  <c r="BE18" i="90"/>
  <c r="AW18" i="90"/>
  <c r="AO18" i="90"/>
  <c r="AQ18" i="90"/>
  <c r="BL18" i="90"/>
  <c r="BD18" i="90"/>
  <c r="AV18" i="90"/>
  <c r="AN18" i="90"/>
  <c r="BK18" i="90"/>
  <c r="BC18" i="90"/>
  <c r="AU18" i="90"/>
  <c r="AM18" i="90"/>
  <c r="BG18" i="90"/>
  <c r="BJ18" i="90"/>
  <c r="BB18" i="90"/>
  <c r="AT18" i="90"/>
  <c r="AL18" i="90"/>
  <c r="BI18" i="90"/>
  <c r="BA18" i="90"/>
  <c r="AS18" i="90"/>
  <c r="AK18" i="90"/>
  <c r="BH18" i="90"/>
  <c r="AZ18" i="90"/>
  <c r="AR18" i="90"/>
  <c r="AJ18" i="90"/>
  <c r="AY18" i="90"/>
  <c r="J65" i="87"/>
  <c r="I49" i="87" s="1"/>
  <c r="DB17" i="93"/>
  <c r="CT17" i="93"/>
  <c r="CL17" i="93"/>
  <c r="DC17" i="93"/>
  <c r="CS17" i="93"/>
  <c r="CJ17" i="93"/>
  <c r="CB17" i="93"/>
  <c r="DA17" i="93"/>
  <c r="CR17" i="93"/>
  <c r="CI17" i="93"/>
  <c r="CA17" i="93"/>
  <c r="CZ17" i="93"/>
  <c r="CQ17" i="93"/>
  <c r="CH17" i="93"/>
  <c r="CY17" i="93"/>
  <c r="CP17" i="93"/>
  <c r="CG17" i="93"/>
  <c r="CX17" i="93"/>
  <c r="CO17" i="93"/>
  <c r="CF17" i="93"/>
  <c r="CW17" i="93"/>
  <c r="CN17" i="93"/>
  <c r="CE17" i="93"/>
  <c r="DD17" i="93"/>
  <c r="CU17" i="93"/>
  <c r="CK17" i="93"/>
  <c r="CC17" i="93"/>
  <c r="CM17" i="93"/>
  <c r="CD17" i="93"/>
  <c r="CV17" i="93"/>
  <c r="BF17" i="93"/>
  <c r="AX17" i="93"/>
  <c r="AP17" i="93"/>
  <c r="BM17" i="93"/>
  <c r="BE17" i="93"/>
  <c r="AW17" i="93"/>
  <c r="AO17" i="93"/>
  <c r="BL17" i="93"/>
  <c r="BD17" i="93"/>
  <c r="AV17" i="93"/>
  <c r="AN17" i="93"/>
  <c r="BJ17" i="93"/>
  <c r="BB17" i="93"/>
  <c r="AT17" i="93"/>
  <c r="AL17" i="93"/>
  <c r="BH17" i="93"/>
  <c r="AZ17" i="93"/>
  <c r="AR17" i="93"/>
  <c r="AJ17" i="93"/>
  <c r="BG17" i="93"/>
  <c r="AY17" i="93"/>
  <c r="AQ17" i="93"/>
  <c r="AU17" i="93"/>
  <c r="AS17" i="93"/>
  <c r="AM17" i="93"/>
  <c r="AK17" i="93"/>
  <c r="BK17" i="93"/>
  <c r="BI17" i="93"/>
  <c r="BC17" i="93"/>
  <c r="BA17" i="93"/>
  <c r="BL17" i="91"/>
  <c r="BD17" i="91"/>
  <c r="AV17" i="91"/>
  <c r="AN17" i="91"/>
  <c r="BK17" i="91"/>
  <c r="BC17" i="91"/>
  <c r="AU17" i="91"/>
  <c r="AM17" i="91"/>
  <c r="BJ17" i="91"/>
  <c r="BB17" i="91"/>
  <c r="AT17" i="91"/>
  <c r="AL17" i="91"/>
  <c r="BI17" i="91"/>
  <c r="BA17" i="91"/>
  <c r="AS17" i="91"/>
  <c r="AK17" i="91"/>
  <c r="BH17" i="91"/>
  <c r="AZ17" i="91"/>
  <c r="AR17" i="91"/>
  <c r="AJ17" i="91"/>
  <c r="BG17" i="91"/>
  <c r="AY17" i="91"/>
  <c r="AQ17" i="91"/>
  <c r="BF17" i="91"/>
  <c r="AX17" i="91"/>
  <c r="AP17" i="91"/>
  <c r="BM17" i="91"/>
  <c r="BE17" i="91"/>
  <c r="AW17" i="91"/>
  <c r="AO17" i="91"/>
  <c r="CY17" i="91"/>
  <c r="CQ17" i="91"/>
  <c r="CI17" i="91"/>
  <c r="CA17" i="91"/>
  <c r="CX17" i="91"/>
  <c r="CP17" i="91"/>
  <c r="CH17" i="91"/>
  <c r="DD17" i="91"/>
  <c r="CV17" i="91"/>
  <c r="CN17" i="91"/>
  <c r="CF17" i="91"/>
  <c r="DC17" i="91"/>
  <c r="CU17" i="91"/>
  <c r="CM17" i="91"/>
  <c r="CE17" i="91"/>
  <c r="DB17" i="91"/>
  <c r="CT17" i="91"/>
  <c r="CL17" i="91"/>
  <c r="CD17" i="91"/>
  <c r="DA17" i="91"/>
  <c r="CS17" i="91"/>
  <c r="CK17" i="91"/>
  <c r="CC17" i="91"/>
  <c r="CG17" i="91"/>
  <c r="CB17" i="91"/>
  <c r="CZ17" i="91"/>
  <c r="CW17" i="91"/>
  <c r="CR17" i="91"/>
  <c r="CO17" i="91"/>
  <c r="CJ17" i="91"/>
  <c r="BO16" i="92"/>
  <c r="CI17" i="88"/>
  <c r="CR17" i="88"/>
  <c r="CZ17" i="88"/>
  <c r="CA17" i="88"/>
  <c r="CJ17" i="88"/>
  <c r="CS17" i="88"/>
  <c r="DA17" i="88"/>
  <c r="CC17" i="88"/>
  <c r="CK17" i="88"/>
  <c r="CT17" i="88"/>
  <c r="DB17" i="88"/>
  <c r="CD17" i="88"/>
  <c r="CM17" i="88"/>
  <c r="CU17" i="88"/>
  <c r="DC17" i="88"/>
  <c r="CE17" i="88"/>
  <c r="CN17" i="88"/>
  <c r="CV17" i="88"/>
  <c r="DD17" i="88"/>
  <c r="CF17" i="88"/>
  <c r="CO17" i="88"/>
  <c r="CW17" i="88"/>
  <c r="CG17" i="88"/>
  <c r="CP17" i="88"/>
  <c r="CX17" i="88"/>
  <c r="CH17" i="88"/>
  <c r="CQ17" i="88"/>
  <c r="CY17" i="88"/>
  <c r="AQ17" i="88"/>
  <c r="AZ17" i="88"/>
  <c r="BH17" i="88"/>
  <c r="AR17" i="88"/>
  <c r="BA17" i="88"/>
  <c r="BI17" i="88"/>
  <c r="AJ17" i="88"/>
  <c r="AS17" i="88"/>
  <c r="BB17" i="88"/>
  <c r="BJ17" i="88"/>
  <c r="AL17" i="88"/>
  <c r="AT17" i="88"/>
  <c r="BC17" i="88"/>
  <c r="BK17" i="88"/>
  <c r="AM17" i="88"/>
  <c r="AV17" i="88"/>
  <c r="BD17" i="88"/>
  <c r="BL17" i="88"/>
  <c r="AN17" i="88"/>
  <c r="AW17" i="88"/>
  <c r="BE17" i="88"/>
  <c r="BM17" i="88"/>
  <c r="AO17" i="88"/>
  <c r="AX17" i="88"/>
  <c r="BF17" i="88"/>
  <c r="AP17" i="88"/>
  <c r="BG17" i="88"/>
  <c r="AY17" i="88"/>
  <c r="CL17" i="88"/>
  <c r="AU17" i="88"/>
  <c r="BO17" i="92"/>
  <c r="DB18" i="92"/>
  <c r="CT18" i="92"/>
  <c r="CL18" i="92"/>
  <c r="CC18" i="92"/>
  <c r="DA18" i="92"/>
  <c r="CS18" i="92"/>
  <c r="CK18" i="92"/>
  <c r="CB18" i="92"/>
  <c r="CZ18" i="92"/>
  <c r="CR18" i="92"/>
  <c r="CJ18" i="92"/>
  <c r="CA18" i="92"/>
  <c r="CY18" i="92"/>
  <c r="CQ18" i="92"/>
  <c r="CH18" i="92"/>
  <c r="CX18" i="92"/>
  <c r="CP18" i="92"/>
  <c r="CG18" i="92"/>
  <c r="CW18" i="92"/>
  <c r="CO18" i="92"/>
  <c r="CF18" i="92"/>
  <c r="DD18" i="92"/>
  <c r="CV18" i="92"/>
  <c r="CN18" i="92"/>
  <c r="CE18" i="92"/>
  <c r="CM18" i="92"/>
  <c r="CD18" i="92"/>
  <c r="DC18" i="92"/>
  <c r="CU18" i="92"/>
  <c r="BI18" i="92"/>
  <c r="BA18" i="92"/>
  <c r="AS18" i="92"/>
  <c r="AJ18" i="92"/>
  <c r="BJ18" i="92"/>
  <c r="BH18" i="92"/>
  <c r="AZ18" i="92"/>
  <c r="AQ18" i="92"/>
  <c r="AK18" i="92"/>
  <c r="BG18" i="92"/>
  <c r="AY18" i="92"/>
  <c r="AP18" i="92"/>
  <c r="BF18" i="92"/>
  <c r="AX18" i="92"/>
  <c r="AO18" i="92"/>
  <c r="BB18" i="92"/>
  <c r="BM18" i="92"/>
  <c r="BE18" i="92"/>
  <c r="AW18" i="92"/>
  <c r="AN18" i="92"/>
  <c r="BL18" i="92"/>
  <c r="BD18" i="92"/>
  <c r="AV18" i="92"/>
  <c r="AM18" i="92"/>
  <c r="BK18" i="92"/>
  <c r="BC18" i="92"/>
  <c r="AU18" i="92"/>
  <c r="AL18" i="92"/>
  <c r="AT18" i="92"/>
  <c r="AR18" i="92"/>
  <c r="CI18" i="92"/>
  <c r="BN17" i="92"/>
  <c r="DB18" i="86"/>
  <c r="CT18" i="86"/>
  <c r="CL18" i="86"/>
  <c r="CC18" i="86"/>
  <c r="DA18" i="86"/>
  <c r="CS18" i="86"/>
  <c r="CK18" i="86"/>
  <c r="CB18" i="86"/>
  <c r="CZ18" i="86"/>
  <c r="CR18" i="86"/>
  <c r="CJ18" i="86"/>
  <c r="CA18" i="86"/>
  <c r="CY18" i="86"/>
  <c r="CQ18" i="86"/>
  <c r="CI18" i="86"/>
  <c r="CX18" i="86"/>
  <c r="CP18" i="86"/>
  <c r="CH18" i="86"/>
  <c r="CW18" i="86"/>
  <c r="CO18" i="86"/>
  <c r="CG18" i="86"/>
  <c r="CU18" i="86"/>
  <c r="CM18" i="86"/>
  <c r="CF18" i="86"/>
  <c r="CE18" i="86"/>
  <c r="DD18" i="86"/>
  <c r="DC18" i="86"/>
  <c r="CV18" i="86"/>
  <c r="CN18" i="86"/>
  <c r="BG18" i="86"/>
  <c r="AY18" i="86"/>
  <c r="AQ18" i="86"/>
  <c r="BI18" i="86"/>
  <c r="AZ18" i="86"/>
  <c r="AP18" i="86"/>
  <c r="BH18" i="86"/>
  <c r="AX18" i="86"/>
  <c r="AO18" i="86"/>
  <c r="BF18" i="86"/>
  <c r="AW18" i="86"/>
  <c r="AN18" i="86"/>
  <c r="BE18" i="86"/>
  <c r="AV18" i="86"/>
  <c r="AL18" i="86"/>
  <c r="BD18" i="86"/>
  <c r="AK18" i="86"/>
  <c r="BC18" i="86"/>
  <c r="AJ18" i="86"/>
  <c r="BB18" i="86"/>
  <c r="BA18" i="86"/>
  <c r="BM18" i="86"/>
  <c r="AU18" i="86"/>
  <c r="BL18" i="86"/>
  <c r="AT18" i="86"/>
  <c r="BK18" i="86"/>
  <c r="AS18" i="86"/>
  <c r="BJ18" i="86"/>
  <c r="AR18" i="86"/>
  <c r="CD18" i="86"/>
  <c r="AM18" i="86"/>
  <c r="AN17" i="83"/>
  <c r="AV17" i="83"/>
  <c r="AK17" i="83"/>
  <c r="AU17" i="83"/>
  <c r="BD17" i="83"/>
  <c r="BL17" i="83"/>
  <c r="CA17" i="83"/>
  <c r="CJ17" i="83"/>
  <c r="CR17" i="83"/>
  <c r="CZ17" i="83"/>
  <c r="CD17" i="83"/>
  <c r="DB17" i="83"/>
  <c r="AM17" i="83"/>
  <c r="AW17" i="83"/>
  <c r="BE17" i="83"/>
  <c r="BM17" i="83"/>
  <c r="CB17" i="83"/>
  <c r="CK17" i="83"/>
  <c r="CS17" i="83"/>
  <c r="DA17" i="83"/>
  <c r="CL17" i="83"/>
  <c r="AO17" i="83"/>
  <c r="AX17" i="83"/>
  <c r="BF17" i="83"/>
  <c r="CT17" i="83"/>
  <c r="AP17" i="83"/>
  <c r="AY17" i="83"/>
  <c r="BG17" i="83"/>
  <c r="CE17" i="83"/>
  <c r="CM17" i="83"/>
  <c r="CU17" i="83"/>
  <c r="DC17" i="83"/>
  <c r="CF17" i="83"/>
  <c r="CN17" i="83"/>
  <c r="DD17" i="83"/>
  <c r="AQ17" i="83"/>
  <c r="AZ17" i="83"/>
  <c r="BH17" i="83"/>
  <c r="CV17" i="83"/>
  <c r="AR17" i="83"/>
  <c r="BK17" i="83"/>
  <c r="CH17" i="83"/>
  <c r="AS17" i="83"/>
  <c r="CI17" i="83"/>
  <c r="AT17" i="83"/>
  <c r="CO17" i="83"/>
  <c r="BA17" i="83"/>
  <c r="CP17" i="83"/>
  <c r="BB17" i="83"/>
  <c r="CQ17" i="83"/>
  <c r="BC17" i="83"/>
  <c r="CW17" i="83"/>
  <c r="BI17" i="83"/>
  <c r="CX17" i="83"/>
  <c r="AJ17" i="83"/>
  <c r="BJ17" i="83"/>
  <c r="CG17" i="83"/>
  <c r="CY17" i="83"/>
  <c r="AL17" i="83"/>
  <c r="DB17" i="85"/>
  <c r="CT17" i="85"/>
  <c r="CL17" i="85"/>
  <c r="CD17" i="85"/>
  <c r="DD17" i="85"/>
  <c r="CU17" i="85"/>
  <c r="CK17" i="85"/>
  <c r="CB17" i="85"/>
  <c r="DC17" i="85"/>
  <c r="CS17" i="85"/>
  <c r="CJ17" i="85"/>
  <c r="DA17" i="85"/>
  <c r="CR17" i="85"/>
  <c r="CI17" i="85"/>
  <c r="CZ17" i="85"/>
  <c r="CQ17" i="85"/>
  <c r="CH17" i="85"/>
  <c r="CY17" i="85"/>
  <c r="CP17" i="85"/>
  <c r="CG17" i="85"/>
  <c r="CX17" i="85"/>
  <c r="CO17" i="85"/>
  <c r="CF17" i="85"/>
  <c r="CW17" i="85"/>
  <c r="CN17" i="85"/>
  <c r="CE17" i="85"/>
  <c r="CV17" i="85"/>
  <c r="CM17" i="85"/>
  <c r="CC17" i="85"/>
  <c r="BM17" i="85"/>
  <c r="BE17" i="85"/>
  <c r="AW17" i="85"/>
  <c r="AO17" i="85"/>
  <c r="BL17" i="85"/>
  <c r="BD17" i="85"/>
  <c r="AV17" i="85"/>
  <c r="AN17" i="85"/>
  <c r="BK17" i="85"/>
  <c r="BC17" i="85"/>
  <c r="AU17" i="85"/>
  <c r="AM17" i="85"/>
  <c r="BJ17" i="85"/>
  <c r="BB17" i="85"/>
  <c r="AT17" i="85"/>
  <c r="AL17" i="85"/>
  <c r="BI17" i="85"/>
  <c r="BA17" i="85"/>
  <c r="AS17" i="85"/>
  <c r="AK17" i="85"/>
  <c r="BH17" i="85"/>
  <c r="AZ17" i="85"/>
  <c r="AR17" i="85"/>
  <c r="BG17" i="85"/>
  <c r="AY17" i="85"/>
  <c r="AQ17" i="85"/>
  <c r="BF17" i="85"/>
  <c r="AX17" i="85"/>
  <c r="AP17" i="85"/>
  <c r="AJ17" i="85"/>
  <c r="DB17" i="84"/>
  <c r="CT17" i="84"/>
  <c r="CL17" i="84"/>
  <c r="DA17" i="84"/>
  <c r="CR17" i="84"/>
  <c r="CI17" i="84"/>
  <c r="CA17" i="84"/>
  <c r="DD17" i="84"/>
  <c r="CS17" i="84"/>
  <c r="CH17" i="84"/>
  <c r="DC17" i="84"/>
  <c r="CQ17" i="84"/>
  <c r="CG17" i="84"/>
  <c r="CX17" i="84"/>
  <c r="CN17" i="84"/>
  <c r="CD17" i="84"/>
  <c r="CU17" i="84"/>
  <c r="CC17" i="84"/>
  <c r="CP17" i="84"/>
  <c r="CB17" i="84"/>
  <c r="CO17" i="84"/>
  <c r="CM17" i="84"/>
  <c r="CZ17" i="84"/>
  <c r="CK17" i="84"/>
  <c r="CY17" i="84"/>
  <c r="CJ17" i="84"/>
  <c r="CW17" i="84"/>
  <c r="CF17" i="84"/>
  <c r="CV17" i="84"/>
  <c r="CE17" i="84"/>
  <c r="BJ17" i="84"/>
  <c r="BB17" i="84"/>
  <c r="AT17" i="84"/>
  <c r="AL17" i="84"/>
  <c r="BI17" i="84"/>
  <c r="BA17" i="84"/>
  <c r="AS17" i="84"/>
  <c r="AK17" i="84"/>
  <c r="BH17" i="84"/>
  <c r="AZ17" i="84"/>
  <c r="AR17" i="84"/>
  <c r="AJ17" i="84"/>
  <c r="BG17" i="84"/>
  <c r="AY17" i="84"/>
  <c r="AQ17" i="84"/>
  <c r="BF17" i="84"/>
  <c r="AX17" i="84"/>
  <c r="AP17" i="84"/>
  <c r="BM17" i="84"/>
  <c r="BE17" i="84"/>
  <c r="AW17" i="84"/>
  <c r="AO17" i="84"/>
  <c r="BL17" i="84"/>
  <c r="BD17" i="84"/>
  <c r="AV17" i="84"/>
  <c r="AN17" i="84"/>
  <c r="AM17" i="84"/>
  <c r="BK17" i="84"/>
  <c r="BC17" i="84"/>
  <c r="AU17" i="84"/>
  <c r="J65" i="84"/>
  <c r="I49" i="84" s="1"/>
  <c r="I52" i="84" s="1"/>
  <c r="C12" i="50" s="1"/>
  <c r="J66" i="88"/>
  <c r="I47" i="88" s="1"/>
  <c r="I50" i="88" s="1"/>
  <c r="C16" i="50" s="1"/>
  <c r="J64" i="90"/>
  <c r="I48" i="90" s="1"/>
  <c r="I51" i="90" s="1"/>
  <c r="C18" i="50" s="1"/>
  <c r="J65" i="85"/>
  <c r="I48" i="85" s="1"/>
  <c r="I51" i="85" s="1"/>
  <c r="C13" i="50" s="1"/>
  <c r="J65" i="86"/>
  <c r="I49" i="86" s="1"/>
  <c r="I52" i="86" s="1"/>
  <c r="C14" i="50" s="1"/>
  <c r="J65" i="83"/>
  <c r="I48" i="83" s="1"/>
  <c r="I51" i="83" s="1"/>
  <c r="C11" i="50" s="1"/>
  <c r="I54" i="92"/>
  <c r="I51" i="92"/>
  <c r="C20" i="50" s="1"/>
  <c r="A13" i="95"/>
  <c r="BG23" i="43"/>
  <c r="BT32" i="43"/>
  <c r="BU32" i="43" s="1"/>
  <c r="B22" i="96" s="1"/>
  <c r="I52" i="87"/>
  <c r="C15" i="50" s="1"/>
  <c r="I54" i="83"/>
  <c r="AN4" i="23"/>
  <c r="T4" i="25"/>
  <c r="B18" i="91"/>
  <c r="X5" i="23"/>
  <c r="AD5" i="24" s="1"/>
  <c r="T5" i="23"/>
  <c r="Y5" i="24" s="1"/>
  <c r="P4" i="23"/>
  <c r="T4" i="24" s="1"/>
  <c r="DE16" i="85"/>
  <c r="L16" i="85" s="1"/>
  <c r="BN17" i="90"/>
  <c r="K17" i="90" s="1"/>
  <c r="BN16" i="85"/>
  <c r="K16" i="85" s="1"/>
  <c r="Q5" i="25"/>
  <c r="D17" i="91"/>
  <c r="AL5" i="23"/>
  <c r="Z6" i="25"/>
  <c r="AS6" i="23"/>
  <c r="B18" i="93"/>
  <c r="A19" i="93"/>
  <c r="D17" i="93"/>
  <c r="AA5" i="25"/>
  <c r="AT5" i="23"/>
  <c r="U7" i="25"/>
  <c r="AO7" i="23"/>
  <c r="AK7" i="23"/>
  <c r="P7" i="25"/>
  <c r="AK6" i="23"/>
  <c r="P6" i="25"/>
  <c r="F6" i="25"/>
  <c r="AC6" i="23"/>
  <c r="U7" i="23"/>
  <c r="Z7" i="24"/>
  <c r="Q7" i="23"/>
  <c r="U7" i="24"/>
  <c r="N5" i="23"/>
  <c r="D17" i="85"/>
  <c r="Q5" i="24"/>
  <c r="P6" i="24"/>
  <c r="M6" i="23"/>
  <c r="A19" i="85"/>
  <c r="B18" i="85"/>
  <c r="K6" i="24"/>
  <c r="I6" i="23"/>
  <c r="F6" i="24"/>
  <c r="E6" i="23"/>
  <c r="V6" i="24"/>
  <c r="R6" i="23"/>
  <c r="J5" i="23"/>
  <c r="L5" i="24"/>
  <c r="G5" i="24"/>
  <c r="F5" i="23"/>
  <c r="G5" i="25"/>
  <c r="AD5" i="23"/>
  <c r="AA6" i="24"/>
  <c r="V6" i="23"/>
  <c r="Y5" i="25"/>
  <c r="AR5" i="23"/>
  <c r="AN5" i="23"/>
  <c r="AP6" i="23"/>
  <c r="V6" i="25"/>
  <c r="AF4" i="23"/>
  <c r="J4" i="25"/>
  <c r="AE22" i="43"/>
  <c r="A12" i="49"/>
  <c r="AS22" i="43"/>
  <c r="A12" i="48"/>
  <c r="Q22" i="43"/>
  <c r="A12" i="47"/>
  <c r="C19" i="50"/>
  <c r="AJ5" i="23"/>
  <c r="O5" i="25"/>
  <c r="AH6" i="23"/>
  <c r="L6" i="25"/>
  <c r="K7" i="25"/>
  <c r="AG7" i="23"/>
  <c r="B5" i="25"/>
  <c r="Z5" i="23"/>
  <c r="Y6" i="23"/>
  <c r="A6" i="25"/>
  <c r="AB4" i="23"/>
  <c r="E4" i="25"/>
  <c r="F14" i="50"/>
  <c r="U49" i="87"/>
  <c r="U57" i="86"/>
  <c r="B19" i="92"/>
  <c r="A20" i="92"/>
  <c r="D18" i="92"/>
  <c r="A20" i="91"/>
  <c r="B19" i="91"/>
  <c r="D18" i="90"/>
  <c r="A20" i="90"/>
  <c r="B19" i="90"/>
  <c r="BO16" i="89"/>
  <c r="A19" i="89"/>
  <c r="B18" i="89"/>
  <c r="D17" i="89"/>
  <c r="D17" i="88"/>
  <c r="B18" i="88"/>
  <c r="A19" i="88"/>
  <c r="D18" i="87"/>
  <c r="B19" i="87"/>
  <c r="A20" i="87"/>
  <c r="A20" i="86"/>
  <c r="B19" i="86"/>
  <c r="D18" i="86"/>
  <c r="B18" i="84"/>
  <c r="A19" i="84"/>
  <c r="D17" i="84"/>
  <c r="L5" i="23" s="1"/>
  <c r="O5" i="24" s="1"/>
  <c r="B18" i="83"/>
  <c r="A19" i="83"/>
  <c r="D17" i="83"/>
  <c r="H5" i="23" s="1"/>
  <c r="J5" i="24" s="1"/>
  <c r="CE18" i="88" l="1"/>
  <c r="CN18" i="88"/>
  <c r="CV18" i="88"/>
  <c r="DD18" i="88"/>
  <c r="CF18" i="88"/>
  <c r="CO18" i="88"/>
  <c r="CW18" i="88"/>
  <c r="CG18" i="88"/>
  <c r="CP18" i="88"/>
  <c r="CX18" i="88"/>
  <c r="CH18" i="88"/>
  <c r="CQ18" i="88"/>
  <c r="CY18" i="88"/>
  <c r="CI18" i="88"/>
  <c r="CR18" i="88"/>
  <c r="CZ18" i="88"/>
  <c r="CA18" i="88"/>
  <c r="CJ18" i="88"/>
  <c r="CS18" i="88"/>
  <c r="DA18" i="88"/>
  <c r="CB18" i="88"/>
  <c r="CK18" i="88"/>
  <c r="CT18" i="88"/>
  <c r="DB18" i="88"/>
  <c r="CD18" i="88"/>
  <c r="CL18" i="88"/>
  <c r="CU18" i="88"/>
  <c r="DC18" i="88"/>
  <c r="AM18" i="88"/>
  <c r="AU18" i="88"/>
  <c r="BD18" i="88"/>
  <c r="BL18" i="88"/>
  <c r="AN18" i="88"/>
  <c r="AW18" i="88"/>
  <c r="BE18" i="88"/>
  <c r="BM18" i="88"/>
  <c r="AO18" i="88"/>
  <c r="AX18" i="88"/>
  <c r="BF18" i="88"/>
  <c r="AP18" i="88"/>
  <c r="AY18" i="88"/>
  <c r="BG18" i="88"/>
  <c r="AQ18" i="88"/>
  <c r="AZ18" i="88"/>
  <c r="BH18" i="88"/>
  <c r="AR18" i="88"/>
  <c r="BA18" i="88"/>
  <c r="BI18" i="88"/>
  <c r="AJ18" i="88"/>
  <c r="AS18" i="88"/>
  <c r="BB18" i="88"/>
  <c r="BJ18" i="88"/>
  <c r="AT18" i="88"/>
  <c r="BC18" i="88"/>
  <c r="BK18" i="88"/>
  <c r="AK18" i="88"/>
  <c r="AL18" i="88"/>
  <c r="CM18" i="88"/>
  <c r="AV18" i="88"/>
  <c r="BJ19" i="91"/>
  <c r="BB19" i="91"/>
  <c r="AT19" i="91"/>
  <c r="AK19" i="91"/>
  <c r="BI19" i="91"/>
  <c r="BA19" i="91"/>
  <c r="AS19" i="91"/>
  <c r="AJ19" i="91"/>
  <c r="BH19" i="91"/>
  <c r="AZ19" i="91"/>
  <c r="AR19" i="91"/>
  <c r="BG19" i="91"/>
  <c r="AY19" i="91"/>
  <c r="AQ19" i="91"/>
  <c r="BF19" i="91"/>
  <c r="AX19" i="91"/>
  <c r="AO19" i="91"/>
  <c r="BM19" i="91"/>
  <c r="BE19" i="91"/>
  <c r="AW19" i="91"/>
  <c r="AN19" i="91"/>
  <c r="BL19" i="91"/>
  <c r="BD19" i="91"/>
  <c r="AV19" i="91"/>
  <c r="AM19" i="91"/>
  <c r="BK19" i="91"/>
  <c r="BC19" i="91"/>
  <c r="AU19" i="91"/>
  <c r="AL19" i="91"/>
  <c r="CW19" i="91"/>
  <c r="CO19" i="91"/>
  <c r="CF19" i="91"/>
  <c r="DD19" i="91"/>
  <c r="CV19" i="91"/>
  <c r="CN19" i="91"/>
  <c r="CE19" i="91"/>
  <c r="DB19" i="91"/>
  <c r="CT19" i="91"/>
  <c r="CL19" i="91"/>
  <c r="CC19" i="91"/>
  <c r="DA19" i="91"/>
  <c r="CS19" i="91"/>
  <c r="CK19" i="91"/>
  <c r="CB19" i="91"/>
  <c r="CZ19" i="91"/>
  <c r="CR19" i="91"/>
  <c r="CJ19" i="91"/>
  <c r="CA19" i="91"/>
  <c r="CY19" i="91"/>
  <c r="CQ19" i="91"/>
  <c r="CI19" i="91"/>
  <c r="CM19" i="91"/>
  <c r="CH19" i="91"/>
  <c r="CD19" i="91"/>
  <c r="DC19" i="91"/>
  <c r="CX19" i="91"/>
  <c r="CU19" i="91"/>
  <c r="CP19" i="91"/>
  <c r="AP19" i="91"/>
  <c r="CG19" i="91"/>
  <c r="DD18" i="93"/>
  <c r="CV18" i="93"/>
  <c r="CN18" i="93"/>
  <c r="CF18" i="93"/>
  <c r="CZ18" i="93"/>
  <c r="CQ18" i="93"/>
  <c r="CH18" i="93"/>
  <c r="CY18" i="93"/>
  <c r="CP18" i="93"/>
  <c r="CG18" i="93"/>
  <c r="CX18" i="93"/>
  <c r="CO18" i="93"/>
  <c r="CE18" i="93"/>
  <c r="CW18" i="93"/>
  <c r="CM18" i="93"/>
  <c r="CD18" i="93"/>
  <c r="CU18" i="93"/>
  <c r="CL18" i="93"/>
  <c r="CC18" i="93"/>
  <c r="DC18" i="93"/>
  <c r="CT18" i="93"/>
  <c r="CK18" i="93"/>
  <c r="CB18" i="93"/>
  <c r="DB18" i="93"/>
  <c r="CS18" i="93"/>
  <c r="DA18" i="93"/>
  <c r="CR18" i="93"/>
  <c r="CI18" i="93"/>
  <c r="CJ18" i="93"/>
  <c r="CA18" i="93"/>
  <c r="BH18" i="93"/>
  <c r="AZ18" i="93"/>
  <c r="AR18" i="93"/>
  <c r="AJ18" i="93"/>
  <c r="BG18" i="93"/>
  <c r="AY18" i="93"/>
  <c r="AQ18" i="93"/>
  <c r="BF18" i="93"/>
  <c r="AX18" i="93"/>
  <c r="AP18" i="93"/>
  <c r="BL18" i="93"/>
  <c r="BD18" i="93"/>
  <c r="AV18" i="93"/>
  <c r="AN18" i="93"/>
  <c r="BJ18" i="93"/>
  <c r="BB18" i="93"/>
  <c r="AT18" i="93"/>
  <c r="AL18" i="93"/>
  <c r="BI18" i="93"/>
  <c r="BA18" i="93"/>
  <c r="AS18" i="93"/>
  <c r="AK18" i="93"/>
  <c r="AW18" i="93"/>
  <c r="AU18" i="93"/>
  <c r="AO18" i="93"/>
  <c r="AM18" i="93"/>
  <c r="BM18" i="93"/>
  <c r="BK18" i="93"/>
  <c r="BE18" i="93"/>
  <c r="BC18" i="93"/>
  <c r="CW18" i="89"/>
  <c r="CO18" i="89"/>
  <c r="CG18" i="89"/>
  <c r="CV18" i="89"/>
  <c r="CN18" i="89"/>
  <c r="CF18" i="89"/>
  <c r="DC18" i="89"/>
  <c r="CT18" i="89"/>
  <c r="CL18" i="89"/>
  <c r="CD18" i="89"/>
  <c r="CZ18" i="89"/>
  <c r="CR18" i="89"/>
  <c r="CJ18" i="89"/>
  <c r="DD18" i="89"/>
  <c r="CM18" i="89"/>
  <c r="DA18" i="89"/>
  <c r="CK18" i="89"/>
  <c r="CY18" i="89"/>
  <c r="CI18" i="89"/>
  <c r="CX18" i="89"/>
  <c r="CH18" i="89"/>
  <c r="CU18" i="89"/>
  <c r="CE18" i="89"/>
  <c r="CS18" i="89"/>
  <c r="CB18" i="89"/>
  <c r="CQ18" i="89"/>
  <c r="CA18" i="89"/>
  <c r="CP18" i="89"/>
  <c r="BH18" i="89"/>
  <c r="AZ18" i="89"/>
  <c r="AR18" i="89"/>
  <c r="BG18" i="89"/>
  <c r="AY18" i="89"/>
  <c r="AQ18" i="89"/>
  <c r="BF18" i="89"/>
  <c r="AX18" i="89"/>
  <c r="AP18" i="89"/>
  <c r="BM18" i="89"/>
  <c r="BE18" i="89"/>
  <c r="AW18" i="89"/>
  <c r="AO18" i="89"/>
  <c r="BL18" i="89"/>
  <c r="BD18" i="89"/>
  <c r="AV18" i="89"/>
  <c r="AN18" i="89"/>
  <c r="BK18" i="89"/>
  <c r="BC18" i="89"/>
  <c r="AU18" i="89"/>
  <c r="AM18" i="89"/>
  <c r="BJ18" i="89"/>
  <c r="BB18" i="89"/>
  <c r="AT18" i="89"/>
  <c r="AK18" i="89"/>
  <c r="BI18" i="89"/>
  <c r="BA18" i="89"/>
  <c r="AS18" i="89"/>
  <c r="AJ18" i="89"/>
  <c r="DB18" i="89"/>
  <c r="AL18" i="89"/>
  <c r="BG18" i="91"/>
  <c r="AY18" i="91"/>
  <c r="AQ18" i="91"/>
  <c r="BF18" i="91"/>
  <c r="AX18" i="91"/>
  <c r="AP18" i="91"/>
  <c r="BM18" i="91"/>
  <c r="BE18" i="91"/>
  <c r="AW18" i="91"/>
  <c r="AN18" i="91"/>
  <c r="BL18" i="91"/>
  <c r="BD18" i="91"/>
  <c r="AV18" i="91"/>
  <c r="AM18" i="91"/>
  <c r="BK18" i="91"/>
  <c r="BC18" i="91"/>
  <c r="AU18" i="91"/>
  <c r="AL18" i="91"/>
  <c r="BJ18" i="91"/>
  <c r="BB18" i="91"/>
  <c r="AT18" i="91"/>
  <c r="AK18" i="91"/>
  <c r="BI18" i="91"/>
  <c r="BA18" i="91"/>
  <c r="AS18" i="91"/>
  <c r="AJ18" i="91"/>
  <c r="BH18" i="91"/>
  <c r="AZ18" i="91"/>
  <c r="AR18" i="91"/>
  <c r="DB18" i="91"/>
  <c r="CT18" i="91"/>
  <c r="CL18" i="91"/>
  <c r="CC18" i="91"/>
  <c r="DA18" i="91"/>
  <c r="CS18" i="91"/>
  <c r="CK18" i="91"/>
  <c r="CB18" i="91"/>
  <c r="CY18" i="91"/>
  <c r="CQ18" i="91"/>
  <c r="CI18" i="91"/>
  <c r="CX18" i="91"/>
  <c r="CP18" i="91"/>
  <c r="CH18" i="91"/>
  <c r="CW18" i="91"/>
  <c r="CO18" i="91"/>
  <c r="CG18" i="91"/>
  <c r="DD18" i="91"/>
  <c r="CV18" i="91"/>
  <c r="CN18" i="91"/>
  <c r="CE18" i="91"/>
  <c r="CJ18" i="91"/>
  <c r="CD18" i="91"/>
  <c r="CA18" i="91"/>
  <c r="DC18" i="91"/>
  <c r="CZ18" i="91"/>
  <c r="CU18" i="91"/>
  <c r="CR18" i="91"/>
  <c r="CM18" i="91"/>
  <c r="CF18" i="91"/>
  <c r="AO18" i="91"/>
  <c r="BN18" i="92"/>
  <c r="DD19" i="92"/>
  <c r="CV19" i="92"/>
  <c r="CN19" i="92"/>
  <c r="CF19" i="92"/>
  <c r="DC19" i="92"/>
  <c r="CU19" i="92"/>
  <c r="CM19" i="92"/>
  <c r="CE19" i="92"/>
  <c r="DB19" i="92"/>
  <c r="CT19" i="92"/>
  <c r="CL19" i="92"/>
  <c r="CD19" i="92"/>
  <c r="DA19" i="92"/>
  <c r="CS19" i="92"/>
  <c r="CK19" i="92"/>
  <c r="CC19" i="92"/>
  <c r="CZ19" i="92"/>
  <c r="CR19" i="92"/>
  <c r="CJ19" i="92"/>
  <c r="CB19" i="92"/>
  <c r="CY19" i="92"/>
  <c r="CQ19" i="92"/>
  <c r="CI19" i="92"/>
  <c r="CA19" i="92"/>
  <c r="CX19" i="92"/>
  <c r="CP19" i="92"/>
  <c r="CH19" i="92"/>
  <c r="CW19" i="92"/>
  <c r="CO19" i="92"/>
  <c r="CG19" i="92"/>
  <c r="BK19" i="92"/>
  <c r="BC19" i="92"/>
  <c r="AU19" i="92"/>
  <c r="AM19" i="92"/>
  <c r="BJ19" i="92"/>
  <c r="BB19" i="92"/>
  <c r="AT19" i="92"/>
  <c r="AL19" i="92"/>
  <c r="BI19" i="92"/>
  <c r="BA19" i="92"/>
  <c r="AS19" i="92"/>
  <c r="AK19" i="92"/>
  <c r="AV19" i="92"/>
  <c r="BH19" i="92"/>
  <c r="AZ19" i="92"/>
  <c r="AR19" i="92"/>
  <c r="AJ19" i="92"/>
  <c r="BG19" i="92"/>
  <c r="AY19" i="92"/>
  <c r="AQ19" i="92"/>
  <c r="AN19" i="92"/>
  <c r="BF19" i="92"/>
  <c r="AX19" i="92"/>
  <c r="AP19" i="92"/>
  <c r="BL19" i="92"/>
  <c r="BM19" i="92"/>
  <c r="BE19" i="92"/>
  <c r="AW19" i="92"/>
  <c r="AO19" i="92"/>
  <c r="BD19" i="92"/>
  <c r="CW19" i="87"/>
  <c r="CO19" i="87"/>
  <c r="CF19" i="87"/>
  <c r="DD19" i="87"/>
  <c r="CV19" i="87"/>
  <c r="CN19" i="87"/>
  <c r="CE19" i="87"/>
  <c r="DC19" i="87"/>
  <c r="CU19" i="87"/>
  <c r="CM19" i="87"/>
  <c r="CD19" i="87"/>
  <c r="DB19" i="87"/>
  <c r="CT19" i="87"/>
  <c r="CL19" i="87"/>
  <c r="CC19" i="87"/>
  <c r="DA19" i="87"/>
  <c r="CS19" i="87"/>
  <c r="CJ19" i="87"/>
  <c r="CB19" i="87"/>
  <c r="CZ19" i="87"/>
  <c r="CR19" i="87"/>
  <c r="CI19" i="87"/>
  <c r="CY19" i="87"/>
  <c r="CQ19" i="87"/>
  <c r="CH19" i="87"/>
  <c r="CX19" i="87"/>
  <c r="CP19" i="87"/>
  <c r="CG19" i="87"/>
  <c r="BM19" i="87"/>
  <c r="BE19" i="87"/>
  <c r="AW19" i="87"/>
  <c r="AN19" i="87"/>
  <c r="BL19" i="87"/>
  <c r="BD19" i="87"/>
  <c r="AV19" i="87"/>
  <c r="AM19" i="87"/>
  <c r="BK19" i="87"/>
  <c r="BC19" i="87"/>
  <c r="AU19" i="87"/>
  <c r="AL19" i="87"/>
  <c r="BJ19" i="87"/>
  <c r="BB19" i="87"/>
  <c r="AS19" i="87"/>
  <c r="AK19" i="87"/>
  <c r="BI19" i="87"/>
  <c r="BA19" i="87"/>
  <c r="AR19" i="87"/>
  <c r="BH19" i="87"/>
  <c r="AZ19" i="87"/>
  <c r="AQ19" i="87"/>
  <c r="BG19" i="87"/>
  <c r="AY19" i="87"/>
  <c r="AP19" i="87"/>
  <c r="BF19" i="87"/>
  <c r="AX19" i="87"/>
  <c r="AO19" i="87"/>
  <c r="AJ19" i="87"/>
  <c r="CK19" i="87"/>
  <c r="AT19" i="87"/>
  <c r="CW19" i="90"/>
  <c r="CO19" i="90"/>
  <c r="CG19" i="90"/>
  <c r="DD19" i="90"/>
  <c r="CV19" i="90"/>
  <c r="CN19" i="90"/>
  <c r="CF19" i="90"/>
  <c r="DC19" i="90"/>
  <c r="CU19" i="90"/>
  <c r="CM19" i="90"/>
  <c r="CE19" i="90"/>
  <c r="DB19" i="90"/>
  <c r="CT19" i="90"/>
  <c r="CL19" i="90"/>
  <c r="CD19" i="90"/>
  <c r="DA19" i="90"/>
  <c r="CS19" i="90"/>
  <c r="CK19" i="90"/>
  <c r="CC19" i="90"/>
  <c r="CZ19" i="90"/>
  <c r="CR19" i="90"/>
  <c r="CJ19" i="90"/>
  <c r="CB19" i="90"/>
  <c r="CY19" i="90"/>
  <c r="CQ19" i="90"/>
  <c r="CI19" i="90"/>
  <c r="CA19" i="90"/>
  <c r="CH19" i="90"/>
  <c r="CX19" i="90"/>
  <c r="CP19" i="90"/>
  <c r="BH19" i="90"/>
  <c r="AZ19" i="90"/>
  <c r="AR19" i="90"/>
  <c r="AJ19" i="90"/>
  <c r="BG19" i="90"/>
  <c r="AY19" i="90"/>
  <c r="AQ19" i="90"/>
  <c r="BF19" i="90"/>
  <c r="AX19" i="90"/>
  <c r="AP19" i="90"/>
  <c r="BA19" i="90"/>
  <c r="BM19" i="90"/>
  <c r="BE19" i="90"/>
  <c r="AW19" i="90"/>
  <c r="AO19" i="90"/>
  <c r="BL19" i="90"/>
  <c r="BD19" i="90"/>
  <c r="AV19" i="90"/>
  <c r="AN19" i="90"/>
  <c r="BI19" i="90"/>
  <c r="BK19" i="90"/>
  <c r="BC19" i="90"/>
  <c r="AU19" i="90"/>
  <c r="AM19" i="90"/>
  <c r="AS19" i="90"/>
  <c r="BJ19" i="90"/>
  <c r="BB19" i="90"/>
  <c r="AT19" i="90"/>
  <c r="AL19" i="90"/>
  <c r="AK19" i="90"/>
  <c r="BO18" i="92"/>
  <c r="DD19" i="86"/>
  <c r="CV19" i="86"/>
  <c r="CN19" i="86"/>
  <c r="CF19" i="86"/>
  <c r="DC19" i="86"/>
  <c r="CU19" i="86"/>
  <c r="CM19" i="86"/>
  <c r="CE19" i="86"/>
  <c r="DB19" i="86"/>
  <c r="CT19" i="86"/>
  <c r="CL19" i="86"/>
  <c r="CD19" i="86"/>
  <c r="DA19" i="86"/>
  <c r="CS19" i="86"/>
  <c r="CK19" i="86"/>
  <c r="CC19" i="86"/>
  <c r="CZ19" i="86"/>
  <c r="CR19" i="86"/>
  <c r="CJ19" i="86"/>
  <c r="CB19" i="86"/>
  <c r="CY19" i="86"/>
  <c r="CQ19" i="86"/>
  <c r="CI19" i="86"/>
  <c r="CA19" i="86"/>
  <c r="CW19" i="86"/>
  <c r="CO19" i="86"/>
  <c r="CH19" i="86"/>
  <c r="CG19" i="86"/>
  <c r="CX19" i="86"/>
  <c r="CP19" i="86"/>
  <c r="BI19" i="86"/>
  <c r="BA19" i="86"/>
  <c r="AS19" i="86"/>
  <c r="AK19" i="86"/>
  <c r="BF19" i="86"/>
  <c r="AW19" i="86"/>
  <c r="AN19" i="86"/>
  <c r="BE19" i="86"/>
  <c r="AV19" i="86"/>
  <c r="AM19" i="86"/>
  <c r="BM19" i="86"/>
  <c r="BD19" i="86"/>
  <c r="AU19" i="86"/>
  <c r="AL19" i="86"/>
  <c r="BL19" i="86"/>
  <c r="BC19" i="86"/>
  <c r="AT19" i="86"/>
  <c r="AJ19" i="86"/>
  <c r="BG19" i="86"/>
  <c r="AR19" i="86"/>
  <c r="BK19" i="86"/>
  <c r="AQ19" i="86"/>
  <c r="BJ19" i="86"/>
  <c r="AP19" i="86"/>
  <c r="BH19" i="86"/>
  <c r="AO19" i="86"/>
  <c r="BB19" i="86"/>
  <c r="AZ19" i="86"/>
  <c r="AY19" i="86"/>
  <c r="AX19" i="86"/>
  <c r="CW18" i="85"/>
  <c r="CO18" i="85"/>
  <c r="CG18" i="85"/>
  <c r="DB18" i="85"/>
  <c r="CS18" i="85"/>
  <c r="CJ18" i="85"/>
  <c r="DA18" i="85"/>
  <c r="CR18" i="85"/>
  <c r="CI18" i="85"/>
  <c r="CZ18" i="85"/>
  <c r="CQ18" i="85"/>
  <c r="CH18" i="85"/>
  <c r="CY18" i="85"/>
  <c r="CP18" i="85"/>
  <c r="CF18" i="85"/>
  <c r="CX18" i="85"/>
  <c r="CN18" i="85"/>
  <c r="CE18" i="85"/>
  <c r="CV18" i="85"/>
  <c r="CM18" i="85"/>
  <c r="CD18" i="85"/>
  <c r="DD18" i="85"/>
  <c r="CU18" i="85"/>
  <c r="CL18" i="85"/>
  <c r="CC18" i="85"/>
  <c r="DC18" i="85"/>
  <c r="CT18" i="85"/>
  <c r="CK18" i="85"/>
  <c r="CA18" i="85"/>
  <c r="BH18" i="85"/>
  <c r="AZ18" i="85"/>
  <c r="AR18" i="85"/>
  <c r="BG18" i="85"/>
  <c r="AY18" i="85"/>
  <c r="AQ18" i="85"/>
  <c r="BF18" i="85"/>
  <c r="AX18" i="85"/>
  <c r="AP18" i="85"/>
  <c r="BM18" i="85"/>
  <c r="BE18" i="85"/>
  <c r="AW18" i="85"/>
  <c r="AO18" i="85"/>
  <c r="BL18" i="85"/>
  <c r="BD18" i="85"/>
  <c r="AV18" i="85"/>
  <c r="AN18" i="85"/>
  <c r="BK18" i="85"/>
  <c r="BC18" i="85"/>
  <c r="AU18" i="85"/>
  <c r="AM18" i="85"/>
  <c r="BJ18" i="85"/>
  <c r="BB18" i="85"/>
  <c r="AT18" i="85"/>
  <c r="AL18" i="85"/>
  <c r="BI18" i="85"/>
  <c r="BA18" i="85"/>
  <c r="AS18" i="85"/>
  <c r="AJ18" i="85"/>
  <c r="AQ18" i="83"/>
  <c r="AY18" i="83"/>
  <c r="BG18" i="83"/>
  <c r="CE18" i="83"/>
  <c r="CM18" i="83"/>
  <c r="CU18" i="83"/>
  <c r="DC18" i="83"/>
  <c r="CO18" i="83"/>
  <c r="AR18" i="83"/>
  <c r="AZ18" i="83"/>
  <c r="BH18" i="83"/>
  <c r="CF18" i="83"/>
  <c r="CN18" i="83"/>
  <c r="CV18" i="83"/>
  <c r="DD18" i="83"/>
  <c r="CG18" i="83"/>
  <c r="CW18" i="83"/>
  <c r="AJ18" i="83"/>
  <c r="AS18" i="83"/>
  <c r="BA18" i="83"/>
  <c r="BI18" i="83"/>
  <c r="AK18" i="83"/>
  <c r="AT18" i="83"/>
  <c r="BB18" i="83"/>
  <c r="BJ18" i="83"/>
  <c r="CH18" i="83"/>
  <c r="CP18" i="83"/>
  <c r="CX18" i="83"/>
  <c r="CI18" i="83"/>
  <c r="CY18" i="83"/>
  <c r="AL18" i="83"/>
  <c r="AU18" i="83"/>
  <c r="BC18" i="83"/>
  <c r="BK18" i="83"/>
  <c r="CQ18" i="83"/>
  <c r="BE18" i="83"/>
  <c r="CA18" i="83"/>
  <c r="CT18" i="83"/>
  <c r="AN18" i="83"/>
  <c r="BF18" i="83"/>
  <c r="CB18" i="83"/>
  <c r="CZ18" i="83"/>
  <c r="AO18" i="83"/>
  <c r="BL18" i="83"/>
  <c r="CC18" i="83"/>
  <c r="DA18" i="83"/>
  <c r="AP18" i="83"/>
  <c r="BM18" i="83"/>
  <c r="CJ18" i="83"/>
  <c r="DB18" i="83"/>
  <c r="AV18" i="83"/>
  <c r="CK18" i="83"/>
  <c r="AW18" i="83"/>
  <c r="CL18" i="83"/>
  <c r="AX18" i="83"/>
  <c r="CR18" i="83"/>
  <c r="BD18" i="83"/>
  <c r="CS18" i="83"/>
  <c r="CD18" i="83"/>
  <c r="AM18" i="83"/>
  <c r="DD18" i="84"/>
  <c r="CV18" i="84"/>
  <c r="CN18" i="84"/>
  <c r="CF18" i="84"/>
  <c r="CY18" i="84"/>
  <c r="CP18" i="84"/>
  <c r="CG18" i="84"/>
  <c r="CT18" i="84"/>
  <c r="CJ18" i="84"/>
  <c r="DC18" i="84"/>
  <c r="CS18" i="84"/>
  <c r="CI18" i="84"/>
  <c r="CZ18" i="84"/>
  <c r="CO18" i="84"/>
  <c r="CD18" i="84"/>
  <c r="CW18" i="84"/>
  <c r="CE18" i="84"/>
  <c r="CU18" i="84"/>
  <c r="CC18" i="84"/>
  <c r="CR18" i="84"/>
  <c r="CB18" i="84"/>
  <c r="CQ18" i="84"/>
  <c r="CA18" i="84"/>
  <c r="CM18" i="84"/>
  <c r="DB18" i="84"/>
  <c r="CL18" i="84"/>
  <c r="DA18" i="84"/>
  <c r="CK18" i="84"/>
  <c r="CX18" i="84"/>
  <c r="CH18" i="84"/>
  <c r="BL18" i="84"/>
  <c r="BD18" i="84"/>
  <c r="AV18" i="84"/>
  <c r="AN18" i="84"/>
  <c r="BK18" i="84"/>
  <c r="BC18" i="84"/>
  <c r="AU18" i="84"/>
  <c r="AM18" i="84"/>
  <c r="BJ18" i="84"/>
  <c r="BB18" i="84"/>
  <c r="AT18" i="84"/>
  <c r="AL18" i="84"/>
  <c r="BI18" i="84"/>
  <c r="BA18" i="84"/>
  <c r="AS18" i="84"/>
  <c r="AK18" i="84"/>
  <c r="BH18" i="84"/>
  <c r="AZ18" i="84"/>
  <c r="AR18" i="84"/>
  <c r="AJ18" i="84"/>
  <c r="BG18" i="84"/>
  <c r="AY18" i="84"/>
  <c r="AQ18" i="84"/>
  <c r="BF18" i="84"/>
  <c r="AX18" i="84"/>
  <c r="AP18" i="84"/>
  <c r="BM18" i="84"/>
  <c r="BE18" i="84"/>
  <c r="AW18" i="84"/>
  <c r="AO18" i="84"/>
  <c r="B13" i="95"/>
  <c r="BF24" i="43"/>
  <c r="BT33" i="43"/>
  <c r="BU33" i="43" s="1"/>
  <c r="B23" i="96" s="1"/>
  <c r="B12" i="47"/>
  <c r="P23" i="43"/>
  <c r="B12" i="48"/>
  <c r="AR23" i="43"/>
  <c r="B12" i="49"/>
  <c r="AD23" i="43"/>
  <c r="AL6" i="23"/>
  <c r="Q6" i="25"/>
  <c r="D18" i="91"/>
  <c r="T6" i="25" s="1"/>
  <c r="BN17" i="93"/>
  <c r="T5" i="25"/>
  <c r="X6" i="23"/>
  <c r="AD6" i="24" s="1"/>
  <c r="DE18" i="87"/>
  <c r="L18" i="87" s="1"/>
  <c r="T6" i="23"/>
  <c r="Y6" i="24" s="1"/>
  <c r="P5" i="23"/>
  <c r="T5" i="24" s="1"/>
  <c r="BN18" i="87"/>
  <c r="K18" i="87" s="1"/>
  <c r="AS7" i="23"/>
  <c r="Z7" i="25"/>
  <c r="B19" i="93"/>
  <c r="A20" i="93"/>
  <c r="AT6" i="23"/>
  <c r="AA6" i="25"/>
  <c r="D18" i="93"/>
  <c r="AV5" i="23"/>
  <c r="AD5" i="25"/>
  <c r="AO8" i="23"/>
  <c r="U8" i="25"/>
  <c r="AK8" i="23"/>
  <c r="P8" i="25"/>
  <c r="AC7" i="23"/>
  <c r="F7" i="25"/>
  <c r="Z8" i="24"/>
  <c r="U8" i="23"/>
  <c r="U8" i="24"/>
  <c r="Q8" i="23"/>
  <c r="Q6" i="24"/>
  <c r="N6" i="23"/>
  <c r="D18" i="85"/>
  <c r="M7" i="23"/>
  <c r="P7" i="24"/>
  <c r="A20" i="85"/>
  <c r="B19" i="85"/>
  <c r="I7" i="23"/>
  <c r="K7" i="24"/>
  <c r="F7" i="24"/>
  <c r="E7" i="23"/>
  <c r="R7" i="23"/>
  <c r="V7" i="24"/>
  <c r="L6" i="24"/>
  <c r="J6" i="23"/>
  <c r="F6" i="23"/>
  <c r="G6" i="24"/>
  <c r="AD6" i="23"/>
  <c r="G6" i="25"/>
  <c r="AR6" i="23"/>
  <c r="Y6" i="25"/>
  <c r="V7" i="25"/>
  <c r="AP7" i="23"/>
  <c r="V7" i="23"/>
  <c r="AA7" i="24"/>
  <c r="Q7" i="25"/>
  <c r="AL7" i="23"/>
  <c r="AF5" i="23"/>
  <c r="J5" i="25"/>
  <c r="AH7" i="23"/>
  <c r="L7" i="25"/>
  <c r="AG8" i="23"/>
  <c r="K8" i="25"/>
  <c r="O6" i="25"/>
  <c r="AJ6" i="23"/>
  <c r="E5" i="25"/>
  <c r="AB5" i="23"/>
  <c r="A7" i="25"/>
  <c r="Y7" i="23"/>
  <c r="Z6" i="23"/>
  <c r="B6" i="25"/>
  <c r="U57" i="87"/>
  <c r="U47" i="88" s="1"/>
  <c r="F15" i="50"/>
  <c r="D19" i="92"/>
  <c r="B20" i="92"/>
  <c r="A21" i="92"/>
  <c r="D19" i="91"/>
  <c r="B20" i="91"/>
  <c r="A21" i="91"/>
  <c r="D19" i="90"/>
  <c r="A21" i="90"/>
  <c r="B20" i="90"/>
  <c r="D18" i="89"/>
  <c r="B19" i="89"/>
  <c r="A20" i="89"/>
  <c r="A20" i="88"/>
  <c r="B19" i="88"/>
  <c r="D18" i="88"/>
  <c r="B20" i="87"/>
  <c r="A21" i="87"/>
  <c r="D19" i="87"/>
  <c r="D19" i="86"/>
  <c r="A21" i="86"/>
  <c r="B20" i="86"/>
  <c r="B19" i="84"/>
  <c r="A20" i="84"/>
  <c r="D18" i="84"/>
  <c r="L6" i="23" s="1"/>
  <c r="O6" i="24" s="1"/>
  <c r="B19" i="83"/>
  <c r="A20" i="83"/>
  <c r="D18" i="83"/>
  <c r="H6" i="23" s="1"/>
  <c r="J6" i="24" s="1"/>
  <c r="CX20" i="92" l="1"/>
  <c r="CP20" i="92"/>
  <c r="CH20" i="92"/>
  <c r="CW20" i="92"/>
  <c r="CO20" i="92"/>
  <c r="CG20" i="92"/>
  <c r="DD20" i="92"/>
  <c r="CV20" i="92"/>
  <c r="CN20" i="92"/>
  <c r="CF20" i="92"/>
  <c r="DC20" i="92"/>
  <c r="CU20" i="92"/>
  <c r="CM20" i="92"/>
  <c r="CE20" i="92"/>
  <c r="DB20" i="92"/>
  <c r="CT20" i="92"/>
  <c r="CL20" i="92"/>
  <c r="CD20" i="92"/>
  <c r="DA20" i="92"/>
  <c r="CS20" i="92"/>
  <c r="CK20" i="92"/>
  <c r="CC20" i="92"/>
  <c r="CZ20" i="92"/>
  <c r="CR20" i="92"/>
  <c r="CJ20" i="92"/>
  <c r="CB20" i="92"/>
  <c r="CQ20" i="92"/>
  <c r="CI20" i="92"/>
  <c r="CA20" i="92"/>
  <c r="CY20" i="92"/>
  <c r="BM20" i="92"/>
  <c r="BE20" i="92"/>
  <c r="AW20" i="92"/>
  <c r="AO20" i="92"/>
  <c r="BL20" i="92"/>
  <c r="BD20" i="92"/>
  <c r="AV20" i="92"/>
  <c r="AN20" i="92"/>
  <c r="AP20" i="92"/>
  <c r="BK20" i="92"/>
  <c r="BC20" i="92"/>
  <c r="AU20" i="92"/>
  <c r="AM20" i="92"/>
  <c r="BJ20" i="92"/>
  <c r="BB20" i="92"/>
  <c r="AT20" i="92"/>
  <c r="AL20" i="92"/>
  <c r="BF20" i="92"/>
  <c r="BI20" i="92"/>
  <c r="BA20" i="92"/>
  <c r="AS20" i="92"/>
  <c r="AK20" i="92"/>
  <c r="BH20" i="92"/>
  <c r="AZ20" i="92"/>
  <c r="AR20" i="92"/>
  <c r="AJ20" i="92"/>
  <c r="BG20" i="92"/>
  <c r="AY20" i="92"/>
  <c r="AQ20" i="92"/>
  <c r="AX20" i="92"/>
  <c r="CZ20" i="90"/>
  <c r="CR20" i="90"/>
  <c r="CJ20" i="90"/>
  <c r="CY20" i="90"/>
  <c r="CQ20" i="90"/>
  <c r="CI20" i="90"/>
  <c r="CA20" i="90"/>
  <c r="CX20" i="90"/>
  <c r="CP20" i="90"/>
  <c r="CH20" i="90"/>
  <c r="CW20" i="90"/>
  <c r="CO20" i="90"/>
  <c r="CG20" i="90"/>
  <c r="DD20" i="90"/>
  <c r="CV20" i="90"/>
  <c r="CN20" i="90"/>
  <c r="CF20" i="90"/>
  <c r="DC20" i="90"/>
  <c r="CU20" i="90"/>
  <c r="CM20" i="90"/>
  <c r="CE20" i="90"/>
  <c r="DB20" i="90"/>
  <c r="CT20" i="90"/>
  <c r="CL20" i="90"/>
  <c r="CD20" i="90"/>
  <c r="DA20" i="90"/>
  <c r="CS20" i="90"/>
  <c r="CK20" i="90"/>
  <c r="CC20" i="90"/>
  <c r="CB20" i="90"/>
  <c r="BJ20" i="90"/>
  <c r="BB20" i="90"/>
  <c r="AT20" i="90"/>
  <c r="AL20" i="90"/>
  <c r="AM20" i="90"/>
  <c r="BI20" i="90"/>
  <c r="BA20" i="90"/>
  <c r="AS20" i="90"/>
  <c r="AK20" i="90"/>
  <c r="BH20" i="90"/>
  <c r="AZ20" i="90"/>
  <c r="AR20" i="90"/>
  <c r="AJ20" i="90"/>
  <c r="BC20" i="90"/>
  <c r="BG20" i="90"/>
  <c r="AY20" i="90"/>
  <c r="AQ20" i="90"/>
  <c r="BF20" i="90"/>
  <c r="AX20" i="90"/>
  <c r="AP20" i="90"/>
  <c r="BM20" i="90"/>
  <c r="BE20" i="90"/>
  <c r="AW20" i="90"/>
  <c r="AO20" i="90"/>
  <c r="BK20" i="90"/>
  <c r="BL20" i="90"/>
  <c r="BD20" i="90"/>
  <c r="AV20" i="90"/>
  <c r="AN20" i="90"/>
  <c r="AU20" i="90"/>
  <c r="CZ20" i="87"/>
  <c r="CR20" i="87"/>
  <c r="CI20" i="87"/>
  <c r="CA20" i="87"/>
  <c r="CY20" i="87"/>
  <c r="CQ20" i="87"/>
  <c r="CH20" i="87"/>
  <c r="CX20" i="87"/>
  <c r="CP20" i="87"/>
  <c r="CG20" i="87"/>
  <c r="CW20" i="87"/>
  <c r="CO20" i="87"/>
  <c r="CF20" i="87"/>
  <c r="DD20" i="87"/>
  <c r="CV20" i="87"/>
  <c r="CN20" i="87"/>
  <c r="CE20" i="87"/>
  <c r="DC20" i="87"/>
  <c r="CU20" i="87"/>
  <c r="CM20" i="87"/>
  <c r="CD20" i="87"/>
  <c r="DB20" i="87"/>
  <c r="CT20" i="87"/>
  <c r="CK20" i="87"/>
  <c r="CC20" i="87"/>
  <c r="DA20" i="87"/>
  <c r="CS20" i="87"/>
  <c r="CJ20" i="87"/>
  <c r="BH20" i="87"/>
  <c r="AZ20" i="87"/>
  <c r="AQ20" i="87"/>
  <c r="BG20" i="87"/>
  <c r="AY20" i="87"/>
  <c r="AP20" i="87"/>
  <c r="BF20" i="87"/>
  <c r="AX20" i="87"/>
  <c r="AO20" i="87"/>
  <c r="BM20" i="87"/>
  <c r="BE20" i="87"/>
  <c r="AW20" i="87"/>
  <c r="AN20" i="87"/>
  <c r="BL20" i="87"/>
  <c r="BD20" i="87"/>
  <c r="AV20" i="87"/>
  <c r="AM20" i="87"/>
  <c r="BK20" i="87"/>
  <c r="BC20" i="87"/>
  <c r="AT20" i="87"/>
  <c r="AL20" i="87"/>
  <c r="BJ20" i="87"/>
  <c r="BB20" i="87"/>
  <c r="AS20" i="87"/>
  <c r="BI20" i="87"/>
  <c r="BA20" i="87"/>
  <c r="AR20" i="87"/>
  <c r="AJ20" i="87"/>
  <c r="CL20" i="87"/>
  <c r="AU20" i="87"/>
  <c r="BO19" i="92"/>
  <c r="CI19" i="88"/>
  <c r="CR19" i="88"/>
  <c r="CZ19" i="88"/>
  <c r="CA19" i="88"/>
  <c r="CJ19" i="88"/>
  <c r="CS19" i="88"/>
  <c r="DA19" i="88"/>
  <c r="CB19" i="88"/>
  <c r="CK19" i="88"/>
  <c r="CT19" i="88"/>
  <c r="DB19" i="88"/>
  <c r="CC19" i="88"/>
  <c r="CL19" i="88"/>
  <c r="CU19" i="88"/>
  <c r="DC19" i="88"/>
  <c r="CE19" i="88"/>
  <c r="CM19" i="88"/>
  <c r="CV19" i="88"/>
  <c r="DD19" i="88"/>
  <c r="CF19" i="88"/>
  <c r="CO19" i="88"/>
  <c r="CW19" i="88"/>
  <c r="CG19" i="88"/>
  <c r="CP19" i="88"/>
  <c r="CX19" i="88"/>
  <c r="CH19" i="88"/>
  <c r="CQ19" i="88"/>
  <c r="CY19" i="88"/>
  <c r="AQ19" i="88"/>
  <c r="AZ19" i="88"/>
  <c r="BH19" i="88"/>
  <c r="AR19" i="88"/>
  <c r="BA19" i="88"/>
  <c r="BI19" i="88"/>
  <c r="AJ19" i="88"/>
  <c r="AS19" i="88"/>
  <c r="BB19" i="88"/>
  <c r="BJ19" i="88"/>
  <c r="AK19" i="88"/>
  <c r="AT19" i="88"/>
  <c r="BC19" i="88"/>
  <c r="BK19" i="88"/>
  <c r="AL19" i="88"/>
  <c r="AU19" i="88"/>
  <c r="BD19" i="88"/>
  <c r="BL19" i="88"/>
  <c r="AN19" i="88"/>
  <c r="AV19" i="88"/>
  <c r="BE19" i="88"/>
  <c r="BM19" i="88"/>
  <c r="AO19" i="88"/>
  <c r="AX19" i="88"/>
  <c r="BF19" i="88"/>
  <c r="AY19" i="88"/>
  <c r="AP19" i="88"/>
  <c r="BG19" i="88"/>
  <c r="AW19" i="88"/>
  <c r="CD19" i="88"/>
  <c r="CN19" i="88"/>
  <c r="AM19" i="88"/>
  <c r="BM20" i="91"/>
  <c r="BE20" i="91"/>
  <c r="AW20" i="91"/>
  <c r="AN20" i="91"/>
  <c r="BL20" i="91"/>
  <c r="BD20" i="91"/>
  <c r="AV20" i="91"/>
  <c r="AM20" i="91"/>
  <c r="BK20" i="91"/>
  <c r="BC20" i="91"/>
  <c r="AU20" i="91"/>
  <c r="AL20" i="91"/>
  <c r="BJ20" i="91"/>
  <c r="BB20" i="91"/>
  <c r="AT20" i="91"/>
  <c r="AK20" i="91"/>
  <c r="BI20" i="91"/>
  <c r="BA20" i="91"/>
  <c r="AS20" i="91"/>
  <c r="AJ20" i="91"/>
  <c r="BH20" i="91"/>
  <c r="AZ20" i="91"/>
  <c r="AR20" i="91"/>
  <c r="BG20" i="91"/>
  <c r="AY20" i="91"/>
  <c r="AP20" i="91"/>
  <c r="AO20" i="91"/>
  <c r="BF20" i="91"/>
  <c r="AX20" i="91"/>
  <c r="CZ20" i="91"/>
  <c r="CR20" i="91"/>
  <c r="CJ20" i="91"/>
  <c r="CA20" i="91"/>
  <c r="CY20" i="91"/>
  <c r="CQ20" i="91"/>
  <c r="CI20" i="91"/>
  <c r="CW20" i="91"/>
  <c r="CO20" i="91"/>
  <c r="CF20" i="91"/>
  <c r="DD20" i="91"/>
  <c r="CV20" i="91"/>
  <c r="CN20" i="91"/>
  <c r="CE20" i="91"/>
  <c r="DC20" i="91"/>
  <c r="CU20" i="91"/>
  <c r="CM20" i="91"/>
  <c r="CD20" i="91"/>
  <c r="DB20" i="91"/>
  <c r="CT20" i="91"/>
  <c r="CL20" i="91"/>
  <c r="CC20" i="91"/>
  <c r="CP20" i="91"/>
  <c r="CK20" i="91"/>
  <c r="CG20" i="91"/>
  <c r="CB20" i="91"/>
  <c r="DA20" i="91"/>
  <c r="CX20" i="91"/>
  <c r="CS20" i="91"/>
  <c r="CH20" i="91"/>
  <c r="AQ20" i="91"/>
  <c r="CX19" i="93"/>
  <c r="CP19" i="93"/>
  <c r="CH19" i="93"/>
  <c r="CW19" i="93"/>
  <c r="CN19" i="93"/>
  <c r="CE19" i="93"/>
  <c r="CV19" i="93"/>
  <c r="CM19" i="93"/>
  <c r="CD19" i="93"/>
  <c r="DD19" i="93"/>
  <c r="CU19" i="93"/>
  <c r="CL19" i="93"/>
  <c r="CC19" i="93"/>
  <c r="DC19" i="93"/>
  <c r="CT19" i="93"/>
  <c r="CK19" i="93"/>
  <c r="CB19" i="93"/>
  <c r="DB19" i="93"/>
  <c r="CS19" i="93"/>
  <c r="CJ19" i="93"/>
  <c r="CA19" i="93"/>
  <c r="DA19" i="93"/>
  <c r="CR19" i="93"/>
  <c r="CI19" i="93"/>
  <c r="CZ19" i="93"/>
  <c r="CQ19" i="93"/>
  <c r="CG19" i="93"/>
  <c r="CY19" i="93"/>
  <c r="CO19" i="93"/>
  <c r="CF19" i="93"/>
  <c r="BJ19" i="93"/>
  <c r="BB19" i="93"/>
  <c r="AT19" i="93"/>
  <c r="AL19" i="93"/>
  <c r="BI19" i="93"/>
  <c r="BA19" i="93"/>
  <c r="AS19" i="93"/>
  <c r="AK19" i="93"/>
  <c r="BH19" i="93"/>
  <c r="AZ19" i="93"/>
  <c r="AR19" i="93"/>
  <c r="AJ19" i="93"/>
  <c r="BF19" i="93"/>
  <c r="AX19" i="93"/>
  <c r="AP19" i="93"/>
  <c r="BL19" i="93"/>
  <c r="BD19" i="93"/>
  <c r="AV19" i="93"/>
  <c r="AN19" i="93"/>
  <c r="BK19" i="93"/>
  <c r="BC19" i="93"/>
  <c r="AU19" i="93"/>
  <c r="AM19" i="93"/>
  <c r="AY19" i="93"/>
  <c r="AW19" i="93"/>
  <c r="AQ19" i="93"/>
  <c r="AO19" i="93"/>
  <c r="BM19" i="93"/>
  <c r="BG19" i="93"/>
  <c r="BE19" i="93"/>
  <c r="DA19" i="89"/>
  <c r="CS19" i="89"/>
  <c r="CK19" i="89"/>
  <c r="CB19" i="89"/>
  <c r="CZ19" i="89"/>
  <c r="CR19" i="89"/>
  <c r="CJ19" i="89"/>
  <c r="CA19" i="89"/>
  <c r="CY19" i="89"/>
  <c r="CX19" i="89"/>
  <c r="CP19" i="89"/>
  <c r="CH19" i="89"/>
  <c r="DD19" i="89"/>
  <c r="CV19" i="89"/>
  <c r="CN19" i="89"/>
  <c r="CF19" i="89"/>
  <c r="CQ19" i="89"/>
  <c r="CO19" i="89"/>
  <c r="CM19" i="89"/>
  <c r="DC19" i="89"/>
  <c r="CL19" i="89"/>
  <c r="DB19" i="89"/>
  <c r="CI19" i="89"/>
  <c r="CW19" i="89"/>
  <c r="CG19" i="89"/>
  <c r="CU19" i="89"/>
  <c r="CE19" i="89"/>
  <c r="CT19" i="89"/>
  <c r="CC19" i="89"/>
  <c r="BK19" i="89"/>
  <c r="BC19" i="89"/>
  <c r="AU19" i="89"/>
  <c r="AL19" i="89"/>
  <c r="BJ19" i="89"/>
  <c r="BB19" i="89"/>
  <c r="AT19" i="89"/>
  <c r="AK19" i="89"/>
  <c r="BI19" i="89"/>
  <c r="BA19" i="89"/>
  <c r="AS19" i="89"/>
  <c r="AJ19" i="89"/>
  <c r="BH19" i="89"/>
  <c r="AZ19" i="89"/>
  <c r="AR19" i="89"/>
  <c r="BG19" i="89"/>
  <c r="AY19" i="89"/>
  <c r="AQ19" i="89"/>
  <c r="BF19" i="89"/>
  <c r="AX19" i="89"/>
  <c r="AP19" i="89"/>
  <c r="BM19" i="89"/>
  <c r="BE19" i="89"/>
  <c r="AW19" i="89"/>
  <c r="AO19" i="89"/>
  <c r="BL19" i="89"/>
  <c r="BD19" i="89"/>
  <c r="AV19" i="89"/>
  <c r="AN19" i="89"/>
  <c r="AM19" i="89"/>
  <c r="CD19" i="89"/>
  <c r="CX20" i="86"/>
  <c r="CP20" i="86"/>
  <c r="CH20" i="86"/>
  <c r="CW20" i="86"/>
  <c r="CO20" i="86"/>
  <c r="CG20" i="86"/>
  <c r="DD20" i="86"/>
  <c r="CV20" i="86"/>
  <c r="CN20" i="86"/>
  <c r="CF20" i="86"/>
  <c r="DC20" i="86"/>
  <c r="CU20" i="86"/>
  <c r="CM20" i="86"/>
  <c r="CE20" i="86"/>
  <c r="DB20" i="86"/>
  <c r="CT20" i="86"/>
  <c r="CL20" i="86"/>
  <c r="CD20" i="86"/>
  <c r="DA20" i="86"/>
  <c r="CS20" i="86"/>
  <c r="CK20" i="86"/>
  <c r="CC20" i="86"/>
  <c r="CY20" i="86"/>
  <c r="CQ20" i="86"/>
  <c r="CJ20" i="86"/>
  <c r="CI20" i="86"/>
  <c r="CB20" i="86"/>
  <c r="CA20" i="86"/>
  <c r="CZ20" i="86"/>
  <c r="CR20" i="86"/>
  <c r="BK20" i="86"/>
  <c r="BC20" i="86"/>
  <c r="AU20" i="86"/>
  <c r="AM20" i="86"/>
  <c r="BM20" i="86"/>
  <c r="BD20" i="86"/>
  <c r="AT20" i="86"/>
  <c r="AK20" i="86"/>
  <c r="BL20" i="86"/>
  <c r="BB20" i="86"/>
  <c r="AS20" i="86"/>
  <c r="AJ20" i="86"/>
  <c r="BJ20" i="86"/>
  <c r="BA20" i="86"/>
  <c r="AR20" i="86"/>
  <c r="BI20" i="86"/>
  <c r="AZ20" i="86"/>
  <c r="AQ20" i="86"/>
  <c r="BH20" i="86"/>
  <c r="AY20" i="86"/>
  <c r="AP20" i="86"/>
  <c r="BG20" i="86"/>
  <c r="BF20" i="86"/>
  <c r="BE20" i="86"/>
  <c r="AV20" i="86"/>
  <c r="AL20" i="86"/>
  <c r="AN20" i="86"/>
  <c r="AX20" i="86"/>
  <c r="AW20" i="86"/>
  <c r="AO20" i="86"/>
  <c r="CZ19" i="85"/>
  <c r="CR19" i="85"/>
  <c r="CJ19" i="85"/>
  <c r="CA19" i="85"/>
  <c r="DA19" i="85"/>
  <c r="CQ19" i="85"/>
  <c r="CH19" i="85"/>
  <c r="CY19" i="85"/>
  <c r="CP19" i="85"/>
  <c r="CG19" i="85"/>
  <c r="CX19" i="85"/>
  <c r="CO19" i="85"/>
  <c r="CF19" i="85"/>
  <c r="CW19" i="85"/>
  <c r="CN19" i="85"/>
  <c r="CE19" i="85"/>
  <c r="CV19" i="85"/>
  <c r="CM19" i="85"/>
  <c r="CD19" i="85"/>
  <c r="DD19" i="85"/>
  <c r="CU19" i="85"/>
  <c r="CL19" i="85"/>
  <c r="CB19" i="85"/>
  <c r="DC19" i="85"/>
  <c r="CT19" i="85"/>
  <c r="CK19" i="85"/>
  <c r="DB19" i="85"/>
  <c r="CS19" i="85"/>
  <c r="CI19" i="85"/>
  <c r="BK19" i="85"/>
  <c r="BC19" i="85"/>
  <c r="AU19" i="85"/>
  <c r="AM19" i="85"/>
  <c r="BJ19" i="85"/>
  <c r="BB19" i="85"/>
  <c r="AT19" i="85"/>
  <c r="AK19" i="85"/>
  <c r="BI19" i="85"/>
  <c r="BA19" i="85"/>
  <c r="AS19" i="85"/>
  <c r="AJ19" i="85"/>
  <c r="BH19" i="85"/>
  <c r="AZ19" i="85"/>
  <c r="AR19" i="85"/>
  <c r="BG19" i="85"/>
  <c r="AY19" i="85"/>
  <c r="AQ19" i="85"/>
  <c r="BF19" i="85"/>
  <c r="AX19" i="85"/>
  <c r="AP19" i="85"/>
  <c r="BM19" i="85"/>
  <c r="BE19" i="85"/>
  <c r="AW19" i="85"/>
  <c r="AO19" i="85"/>
  <c r="BL19" i="85"/>
  <c r="BD19" i="85"/>
  <c r="AV19" i="85"/>
  <c r="AN19" i="85"/>
  <c r="AL19" i="85"/>
  <c r="AK19" i="83"/>
  <c r="AS19" i="83"/>
  <c r="BA19" i="83"/>
  <c r="BI19" i="83"/>
  <c r="CG19" i="83"/>
  <c r="CO19" i="83"/>
  <c r="CW19" i="83"/>
  <c r="CI19" i="83"/>
  <c r="CY19" i="83"/>
  <c r="AL19" i="83"/>
  <c r="AT19" i="83"/>
  <c r="BB19" i="83"/>
  <c r="BJ19" i="83"/>
  <c r="CH19" i="83"/>
  <c r="CP19" i="83"/>
  <c r="CX19" i="83"/>
  <c r="CQ19" i="83"/>
  <c r="AM19" i="83"/>
  <c r="AU19" i="83"/>
  <c r="BC19" i="83"/>
  <c r="BK19" i="83"/>
  <c r="CA19" i="83"/>
  <c r="AN19" i="83"/>
  <c r="AV19" i="83"/>
  <c r="BD19" i="83"/>
  <c r="BL19" i="83"/>
  <c r="CB19" i="83"/>
  <c r="CJ19" i="83"/>
  <c r="CR19" i="83"/>
  <c r="CZ19" i="83"/>
  <c r="CK19" i="83"/>
  <c r="CS19" i="83"/>
  <c r="AO19" i="83"/>
  <c r="AW19" i="83"/>
  <c r="BE19" i="83"/>
  <c r="BM19" i="83"/>
  <c r="CC19" i="83"/>
  <c r="DA19" i="83"/>
  <c r="AX19" i="83"/>
  <c r="CM19" i="83"/>
  <c r="AY19" i="83"/>
  <c r="CN19" i="83"/>
  <c r="AZ19" i="83"/>
  <c r="CT19" i="83"/>
  <c r="BF19" i="83"/>
  <c r="CU19" i="83"/>
  <c r="AJ19" i="83"/>
  <c r="BG19" i="83"/>
  <c r="CD19" i="83"/>
  <c r="CV19" i="83"/>
  <c r="AP19" i="83"/>
  <c r="BH19" i="83"/>
  <c r="CE19" i="83"/>
  <c r="DB19" i="83"/>
  <c r="AQ19" i="83"/>
  <c r="CF19" i="83"/>
  <c r="DC19" i="83"/>
  <c r="AR19" i="83"/>
  <c r="CL19" i="83"/>
  <c r="DD19" i="83"/>
  <c r="CX19" i="84"/>
  <c r="CP19" i="84"/>
  <c r="CH19" i="84"/>
  <c r="CV19" i="84"/>
  <c r="CM19" i="84"/>
  <c r="CD19" i="84"/>
  <c r="CU19" i="84"/>
  <c r="CK19" i="84"/>
  <c r="CA19" i="84"/>
  <c r="DD19" i="84"/>
  <c r="CT19" i="84"/>
  <c r="CJ19" i="84"/>
  <c r="DC19" i="84"/>
  <c r="DB19" i="84"/>
  <c r="DA19" i="84"/>
  <c r="CQ19" i="84"/>
  <c r="CF19" i="84"/>
  <c r="CZ19" i="84"/>
  <c r="CI19" i="84"/>
  <c r="CY19" i="84"/>
  <c r="CG19" i="84"/>
  <c r="CW19" i="84"/>
  <c r="CE19" i="84"/>
  <c r="CS19" i="84"/>
  <c r="CC19" i="84"/>
  <c r="CR19" i="84"/>
  <c r="CB19" i="84"/>
  <c r="CO19" i="84"/>
  <c r="CN19" i="84"/>
  <c r="CL19" i="84"/>
  <c r="BF19" i="84"/>
  <c r="AX19" i="84"/>
  <c r="AP19" i="84"/>
  <c r="BM19" i="84"/>
  <c r="BE19" i="84"/>
  <c r="AW19" i="84"/>
  <c r="AO19" i="84"/>
  <c r="BL19" i="84"/>
  <c r="BD19" i="84"/>
  <c r="AV19" i="84"/>
  <c r="AN19" i="84"/>
  <c r="BK19" i="84"/>
  <c r="BC19" i="84"/>
  <c r="AU19" i="84"/>
  <c r="AM19" i="84"/>
  <c r="BJ19" i="84"/>
  <c r="BB19" i="84"/>
  <c r="AT19" i="84"/>
  <c r="AL19" i="84"/>
  <c r="BI19" i="84"/>
  <c r="BA19" i="84"/>
  <c r="AS19" i="84"/>
  <c r="AK19" i="84"/>
  <c r="BH19" i="84"/>
  <c r="AZ19" i="84"/>
  <c r="AR19" i="84"/>
  <c r="AJ19" i="84"/>
  <c r="AQ19" i="84"/>
  <c r="BG19" i="84"/>
  <c r="AY19" i="84"/>
  <c r="BG24" i="43"/>
  <c r="A14" i="95"/>
  <c r="BT34" i="43"/>
  <c r="BU34" i="43" s="1"/>
  <c r="B24" i="96" s="1"/>
  <c r="A13" i="47"/>
  <c r="Q23" i="43"/>
  <c r="A13" i="48"/>
  <c r="AS23" i="43"/>
  <c r="A13" i="49"/>
  <c r="AE23" i="43"/>
  <c r="BO18" i="91"/>
  <c r="AN6" i="23"/>
  <c r="BN18" i="91"/>
  <c r="K18" i="91" s="1"/>
  <c r="X7" i="23"/>
  <c r="AD7" i="24" s="1"/>
  <c r="T7" i="23"/>
  <c r="Y7" i="24" s="1"/>
  <c r="P6" i="23"/>
  <c r="T6" i="24" s="1"/>
  <c r="Z8" i="25"/>
  <c r="AS8" i="23"/>
  <c r="A21" i="93"/>
  <c r="B20" i="93"/>
  <c r="AD6" i="25"/>
  <c r="AV6" i="23"/>
  <c r="D19" i="93"/>
  <c r="AT7" i="23"/>
  <c r="AA7" i="25"/>
  <c r="AO9" i="23"/>
  <c r="U9" i="25"/>
  <c r="P9" i="25"/>
  <c r="AK9" i="23"/>
  <c r="F8" i="25"/>
  <c r="AC8" i="23"/>
  <c r="U9" i="23"/>
  <c r="Z9" i="24"/>
  <c r="U9" i="24"/>
  <c r="Q9" i="23"/>
  <c r="N7" i="23"/>
  <c r="D19" i="85"/>
  <c r="Q7" i="24"/>
  <c r="P8" i="24"/>
  <c r="M8" i="23"/>
  <c r="A21" i="85"/>
  <c r="B20" i="85"/>
  <c r="I8" i="23"/>
  <c r="K8" i="24"/>
  <c r="F8" i="24"/>
  <c r="E8" i="23"/>
  <c r="V8" i="24"/>
  <c r="R8" i="23"/>
  <c r="J7" i="23"/>
  <c r="L7" i="24"/>
  <c r="G7" i="24"/>
  <c r="F7" i="23"/>
  <c r="Y7" i="25"/>
  <c r="AR7" i="23"/>
  <c r="AP8" i="23"/>
  <c r="V8" i="25"/>
  <c r="AA8" i="24"/>
  <c r="V8" i="23"/>
  <c r="G7" i="25"/>
  <c r="AD7" i="23"/>
  <c r="Q8" i="25"/>
  <c r="AL8" i="23"/>
  <c r="T7" i="25"/>
  <c r="AN7" i="23"/>
  <c r="J6" i="25"/>
  <c r="AF6" i="23"/>
  <c r="L8" i="25"/>
  <c r="AH8" i="23"/>
  <c r="K9" i="25"/>
  <c r="AG9" i="23"/>
  <c r="AJ7" i="23"/>
  <c r="O7" i="25"/>
  <c r="B7" i="25"/>
  <c r="Z7" i="23"/>
  <c r="AB6" i="23"/>
  <c r="E6" i="25"/>
  <c r="Y8" i="23"/>
  <c r="A8" i="25"/>
  <c r="U55" i="88"/>
  <c r="U49" i="89" s="1"/>
  <c r="F16" i="50"/>
  <c r="D20" i="92"/>
  <c r="B21" i="92"/>
  <c r="A22" i="92"/>
  <c r="A22" i="91"/>
  <c r="B21" i="91"/>
  <c r="D20" i="91"/>
  <c r="B21" i="90"/>
  <c r="A22" i="90"/>
  <c r="D20" i="90"/>
  <c r="B20" i="89"/>
  <c r="A21" i="89"/>
  <c r="D19" i="89"/>
  <c r="D19" i="88"/>
  <c r="A21" i="88"/>
  <c r="B20" i="88"/>
  <c r="A22" i="87"/>
  <c r="B21" i="87"/>
  <c r="D20" i="87"/>
  <c r="D20" i="86"/>
  <c r="A22" i="86"/>
  <c r="B21" i="86"/>
  <c r="A21" i="84"/>
  <c r="B20" i="84"/>
  <c r="D19" i="84"/>
  <c r="L7" i="23" s="1"/>
  <c r="O7" i="24" s="1"/>
  <c r="A21" i="83"/>
  <c r="B20" i="83"/>
  <c r="D19" i="83"/>
  <c r="H7" i="23" s="1"/>
  <c r="J7" i="24" s="1"/>
  <c r="CD20" i="88" l="1"/>
  <c r="CL20" i="88"/>
  <c r="CT20" i="88"/>
  <c r="DB20" i="88"/>
  <c r="CE20" i="88"/>
  <c r="CM20" i="88"/>
  <c r="CU20" i="88"/>
  <c r="DC20" i="88"/>
  <c r="CF20" i="88"/>
  <c r="CN20" i="88"/>
  <c r="CV20" i="88"/>
  <c r="DD20" i="88"/>
  <c r="CG20" i="88"/>
  <c r="CO20" i="88"/>
  <c r="CW20" i="88"/>
  <c r="CH20" i="88"/>
  <c r="CP20" i="88"/>
  <c r="CX20" i="88"/>
  <c r="CA20" i="88"/>
  <c r="CI20" i="88"/>
  <c r="CQ20" i="88"/>
  <c r="CY20" i="88"/>
  <c r="CB20" i="88"/>
  <c r="CJ20" i="88"/>
  <c r="CR20" i="88"/>
  <c r="CZ20" i="88"/>
  <c r="CC20" i="88"/>
  <c r="CK20" i="88"/>
  <c r="CS20" i="88"/>
  <c r="DA20" i="88"/>
  <c r="AL20" i="88"/>
  <c r="AT20" i="88"/>
  <c r="BB20" i="88"/>
  <c r="BJ20" i="88"/>
  <c r="AM20" i="88"/>
  <c r="AU20" i="88"/>
  <c r="BC20" i="88"/>
  <c r="BK20" i="88"/>
  <c r="AN20" i="88"/>
  <c r="AV20" i="88"/>
  <c r="BD20" i="88"/>
  <c r="BL20" i="88"/>
  <c r="AO20" i="88"/>
  <c r="AW20" i="88"/>
  <c r="BE20" i="88"/>
  <c r="BM20" i="88"/>
  <c r="AP20" i="88"/>
  <c r="AX20" i="88"/>
  <c r="BF20" i="88"/>
  <c r="AQ20" i="88"/>
  <c r="AY20" i="88"/>
  <c r="BG20" i="88"/>
  <c r="AJ20" i="88"/>
  <c r="AR20" i="88"/>
  <c r="AZ20" i="88"/>
  <c r="BH20" i="88"/>
  <c r="BA20" i="88"/>
  <c r="BI20" i="88"/>
  <c r="AK20" i="88"/>
  <c r="AS20" i="88"/>
  <c r="CZ20" i="93"/>
  <c r="CR20" i="93"/>
  <c r="CJ20" i="93"/>
  <c r="CB20" i="93"/>
  <c r="DD20" i="93"/>
  <c r="CU20" i="93"/>
  <c r="CL20" i="93"/>
  <c r="CC20" i="93"/>
  <c r="DC20" i="93"/>
  <c r="CT20" i="93"/>
  <c r="CK20" i="93"/>
  <c r="CA20" i="93"/>
  <c r="DB20" i="93"/>
  <c r="CS20" i="93"/>
  <c r="CI20" i="93"/>
  <c r="DA20" i="93"/>
  <c r="CQ20" i="93"/>
  <c r="CH20" i="93"/>
  <c r="CY20" i="93"/>
  <c r="CP20" i="93"/>
  <c r="CG20" i="93"/>
  <c r="CX20" i="93"/>
  <c r="CO20" i="93"/>
  <c r="CF20" i="93"/>
  <c r="CW20" i="93"/>
  <c r="CN20" i="93"/>
  <c r="CE20" i="93"/>
  <c r="CV20" i="93"/>
  <c r="CM20" i="93"/>
  <c r="CD20" i="93"/>
  <c r="BL20" i="93"/>
  <c r="BD20" i="93"/>
  <c r="AV20" i="93"/>
  <c r="AN20" i="93"/>
  <c r="BK20" i="93"/>
  <c r="BC20" i="93"/>
  <c r="AU20" i="93"/>
  <c r="AM20" i="93"/>
  <c r="BJ20" i="93"/>
  <c r="BB20" i="93"/>
  <c r="AT20" i="93"/>
  <c r="AL20" i="93"/>
  <c r="BH20" i="93"/>
  <c r="AZ20" i="93"/>
  <c r="AR20" i="93"/>
  <c r="AJ20" i="93"/>
  <c r="BF20" i="93"/>
  <c r="AX20" i="93"/>
  <c r="AP20" i="93"/>
  <c r="BM20" i="93"/>
  <c r="BE20" i="93"/>
  <c r="AW20" i="93"/>
  <c r="AO20" i="93"/>
  <c r="BA20" i="93"/>
  <c r="AY20" i="93"/>
  <c r="AS20" i="93"/>
  <c r="AQ20" i="93"/>
  <c r="AK20" i="93"/>
  <c r="BI20" i="93"/>
  <c r="BG20" i="93"/>
  <c r="BH21" i="91"/>
  <c r="AZ21" i="91"/>
  <c r="AQ21" i="91"/>
  <c r="BG21" i="91"/>
  <c r="AY21" i="91"/>
  <c r="AP21" i="91"/>
  <c r="BF21" i="91"/>
  <c r="AX21" i="91"/>
  <c r="AO21" i="91"/>
  <c r="BM21" i="91"/>
  <c r="BE21" i="91"/>
  <c r="AW21" i="91"/>
  <c r="AN21" i="91"/>
  <c r="BL21" i="91"/>
  <c r="BD21" i="91"/>
  <c r="AV21" i="91"/>
  <c r="AM21" i="91"/>
  <c r="BK21" i="91"/>
  <c r="BC21" i="91"/>
  <c r="AU21" i="91"/>
  <c r="AL21" i="91"/>
  <c r="BJ21" i="91"/>
  <c r="BB21" i="91"/>
  <c r="AT21" i="91"/>
  <c r="AK21" i="91"/>
  <c r="BI21" i="91"/>
  <c r="BA21" i="91"/>
  <c r="AS21" i="91"/>
  <c r="AJ21" i="91"/>
  <c r="DC21" i="91"/>
  <c r="CU21" i="91"/>
  <c r="CM21" i="91"/>
  <c r="CD21" i="91"/>
  <c r="DB21" i="91"/>
  <c r="CT21" i="91"/>
  <c r="CL21" i="91"/>
  <c r="CC21" i="91"/>
  <c r="CZ21" i="91"/>
  <c r="CR21" i="91"/>
  <c r="CJ21" i="91"/>
  <c r="CA21" i="91"/>
  <c r="CY21" i="91"/>
  <c r="CQ21" i="91"/>
  <c r="CH21" i="91"/>
  <c r="CX21" i="91"/>
  <c r="CP21" i="91"/>
  <c r="CG21" i="91"/>
  <c r="CW21" i="91"/>
  <c r="CO21" i="91"/>
  <c r="CF21" i="91"/>
  <c r="CS21" i="91"/>
  <c r="CN21" i="91"/>
  <c r="CK21" i="91"/>
  <c r="CE21" i="91"/>
  <c r="CB21" i="91"/>
  <c r="DD21" i="91"/>
  <c r="DA21" i="91"/>
  <c r="CV21" i="91"/>
  <c r="AR21" i="91"/>
  <c r="CI21" i="91"/>
  <c r="DB21" i="90"/>
  <c r="CY21" i="90"/>
  <c r="CQ21" i="90"/>
  <c r="CV21" i="90"/>
  <c r="CM21" i="90"/>
  <c r="CD21" i="90"/>
  <c r="CU21" i="90"/>
  <c r="CL21" i="90"/>
  <c r="CC21" i="90"/>
  <c r="DD21" i="90"/>
  <c r="CT21" i="90"/>
  <c r="CK21" i="90"/>
  <c r="CB21" i="90"/>
  <c r="DC21" i="90"/>
  <c r="CS21" i="90"/>
  <c r="CJ21" i="90"/>
  <c r="CA21" i="90"/>
  <c r="DA21" i="90"/>
  <c r="CR21" i="90"/>
  <c r="CI21" i="90"/>
  <c r="CZ21" i="90"/>
  <c r="CP21" i="90"/>
  <c r="CH21" i="90"/>
  <c r="CX21" i="90"/>
  <c r="CO21" i="90"/>
  <c r="CF21" i="90"/>
  <c r="CW21" i="90"/>
  <c r="CN21" i="90"/>
  <c r="CE21" i="90"/>
  <c r="BM21" i="90"/>
  <c r="BE21" i="90"/>
  <c r="AW21" i="90"/>
  <c r="AN21" i="90"/>
  <c r="BL21" i="90"/>
  <c r="BD21" i="90"/>
  <c r="AV21" i="90"/>
  <c r="AM21" i="90"/>
  <c r="AX21" i="90"/>
  <c r="BK21" i="90"/>
  <c r="BC21" i="90"/>
  <c r="AU21" i="90"/>
  <c r="AL21" i="90"/>
  <c r="BJ21" i="90"/>
  <c r="BB21" i="90"/>
  <c r="AT21" i="90"/>
  <c r="AK21" i="90"/>
  <c r="BF21" i="90"/>
  <c r="BI21" i="90"/>
  <c r="BA21" i="90"/>
  <c r="AS21" i="90"/>
  <c r="AJ21" i="90"/>
  <c r="AO21" i="90"/>
  <c r="BH21" i="90"/>
  <c r="AZ21" i="90"/>
  <c r="AR21" i="90"/>
  <c r="BG21" i="90"/>
  <c r="AY21" i="90"/>
  <c r="AQ21" i="90"/>
  <c r="CG21" i="90"/>
  <c r="AP21" i="90"/>
  <c r="DC20" i="89"/>
  <c r="CU20" i="89"/>
  <c r="CM20" i="89"/>
  <c r="CE20" i="89"/>
  <c r="DB20" i="89"/>
  <c r="CT20" i="89"/>
  <c r="CL20" i="89"/>
  <c r="CD20" i="89"/>
  <c r="DA20" i="89"/>
  <c r="CS20" i="89"/>
  <c r="CK20" i="89"/>
  <c r="CC20" i="89"/>
  <c r="CZ20" i="89"/>
  <c r="CR20" i="89"/>
  <c r="CJ20" i="89"/>
  <c r="CB20" i="89"/>
  <c r="CX20" i="89"/>
  <c r="CP20" i="89"/>
  <c r="CH20" i="89"/>
  <c r="DD20" i="89"/>
  <c r="CG20" i="89"/>
  <c r="CY20" i="89"/>
  <c r="CF20" i="89"/>
  <c r="CW20" i="89"/>
  <c r="CA20" i="89"/>
  <c r="CV20" i="89"/>
  <c r="CQ20" i="89"/>
  <c r="CO20" i="89"/>
  <c r="CN20" i="89"/>
  <c r="CI20" i="89"/>
  <c r="BM20" i="89"/>
  <c r="BE20" i="89"/>
  <c r="AW20" i="89"/>
  <c r="AO20" i="89"/>
  <c r="BL20" i="89"/>
  <c r="BD20" i="89"/>
  <c r="AV20" i="89"/>
  <c r="AN20" i="89"/>
  <c r="BK20" i="89"/>
  <c r="BC20" i="89"/>
  <c r="AU20" i="89"/>
  <c r="AM20" i="89"/>
  <c r="BJ20" i="89"/>
  <c r="BB20" i="89"/>
  <c r="AT20" i="89"/>
  <c r="AL20" i="89"/>
  <c r="BI20" i="89"/>
  <c r="BA20" i="89"/>
  <c r="AS20" i="89"/>
  <c r="AK20" i="89"/>
  <c r="BH20" i="89"/>
  <c r="AZ20" i="89"/>
  <c r="AR20" i="89"/>
  <c r="AJ20" i="89"/>
  <c r="BG20" i="89"/>
  <c r="AY20" i="89"/>
  <c r="AQ20" i="89"/>
  <c r="BF20" i="89"/>
  <c r="AX20" i="89"/>
  <c r="AP20" i="89"/>
  <c r="CZ21" i="92"/>
  <c r="CR21" i="92"/>
  <c r="CJ21" i="92"/>
  <c r="CB21" i="92"/>
  <c r="CY21" i="92"/>
  <c r="CQ21" i="92"/>
  <c r="CI21" i="92"/>
  <c r="CA21" i="92"/>
  <c r="CX21" i="92"/>
  <c r="CP21" i="92"/>
  <c r="CH21" i="92"/>
  <c r="CW21" i="92"/>
  <c r="CO21" i="92"/>
  <c r="CG21" i="92"/>
  <c r="DD21" i="92"/>
  <c r="CV21" i="92"/>
  <c r="CN21" i="92"/>
  <c r="CF21" i="92"/>
  <c r="DC21" i="92"/>
  <c r="CU21" i="92"/>
  <c r="CM21" i="92"/>
  <c r="CE21" i="92"/>
  <c r="DB21" i="92"/>
  <c r="CT21" i="92"/>
  <c r="CL21" i="92"/>
  <c r="CD21" i="92"/>
  <c r="DA21" i="92"/>
  <c r="CS21" i="92"/>
  <c r="CK21" i="92"/>
  <c r="CC21" i="92"/>
  <c r="BG21" i="92"/>
  <c r="AY21" i="92"/>
  <c r="AQ21" i="92"/>
  <c r="AR21" i="92"/>
  <c r="BF21" i="92"/>
  <c r="AX21" i="92"/>
  <c r="AP21" i="92"/>
  <c r="BH21" i="92"/>
  <c r="BM21" i="92"/>
  <c r="BE21" i="92"/>
  <c r="AW21" i="92"/>
  <c r="AO21" i="92"/>
  <c r="AZ21" i="92"/>
  <c r="BL21" i="92"/>
  <c r="BD21" i="92"/>
  <c r="AV21" i="92"/>
  <c r="AN21" i="92"/>
  <c r="BK21" i="92"/>
  <c r="BC21" i="92"/>
  <c r="AU21" i="92"/>
  <c r="AM21" i="92"/>
  <c r="AJ21" i="92"/>
  <c r="BJ21" i="92"/>
  <c r="BB21" i="92"/>
  <c r="AT21" i="92"/>
  <c r="AL21" i="92"/>
  <c r="BI21" i="92"/>
  <c r="BA21" i="92"/>
  <c r="AS21" i="92"/>
  <c r="AK21" i="92"/>
  <c r="BO20" i="92"/>
  <c r="DC21" i="87"/>
  <c r="CU21" i="87"/>
  <c r="CL21" i="87"/>
  <c r="CD21" i="87"/>
  <c r="DB21" i="87"/>
  <c r="CT21" i="87"/>
  <c r="CK21" i="87"/>
  <c r="DA21" i="87"/>
  <c r="CS21" i="87"/>
  <c r="CJ21" i="87"/>
  <c r="CB21" i="87"/>
  <c r="CZ21" i="87"/>
  <c r="CR21" i="87"/>
  <c r="CI21" i="87"/>
  <c r="CA21" i="87"/>
  <c r="CY21" i="87"/>
  <c r="CQ21" i="87"/>
  <c r="CH21" i="87"/>
  <c r="CX21" i="87"/>
  <c r="CP21" i="87"/>
  <c r="CG21" i="87"/>
  <c r="CW21" i="87"/>
  <c r="CO21" i="87"/>
  <c r="CF21" i="87"/>
  <c r="DD21" i="87"/>
  <c r="CV21" i="87"/>
  <c r="CN21" i="87"/>
  <c r="CE21" i="87"/>
  <c r="BK21" i="87"/>
  <c r="BC21" i="87"/>
  <c r="AT21" i="87"/>
  <c r="AL21" i="87"/>
  <c r="BJ21" i="87"/>
  <c r="BB21" i="87"/>
  <c r="AS21" i="87"/>
  <c r="AK21" i="87"/>
  <c r="BI21" i="87"/>
  <c r="BA21" i="87"/>
  <c r="AR21" i="87"/>
  <c r="AJ21" i="87"/>
  <c r="BH21" i="87"/>
  <c r="AZ21" i="87"/>
  <c r="AQ21" i="87"/>
  <c r="BG21" i="87"/>
  <c r="AY21" i="87"/>
  <c r="AP21" i="87"/>
  <c r="BF21" i="87"/>
  <c r="AX21" i="87"/>
  <c r="AO21" i="87"/>
  <c r="BM21" i="87"/>
  <c r="BE21" i="87"/>
  <c r="AW21" i="87"/>
  <c r="AN21" i="87"/>
  <c r="BL21" i="87"/>
  <c r="BD21" i="87"/>
  <c r="AU21" i="87"/>
  <c r="AM21" i="87"/>
  <c r="CM21" i="87"/>
  <c r="AV21" i="87"/>
  <c r="DA20" i="84"/>
  <c r="CS20" i="84"/>
  <c r="CK20" i="84"/>
  <c r="CC20" i="84"/>
  <c r="DD20" i="84"/>
  <c r="CU20" i="84"/>
  <c r="CL20" i="84"/>
  <c r="CB20" i="84"/>
  <c r="CX20" i="84"/>
  <c r="CN20" i="84"/>
  <c r="CD20" i="84"/>
  <c r="CW20" i="84"/>
  <c r="CM20" i="84"/>
  <c r="CV20" i="84"/>
  <c r="CJ20" i="84"/>
  <c r="CT20" i="84"/>
  <c r="CI20" i="84"/>
  <c r="DC20" i="84"/>
  <c r="CR20" i="84"/>
  <c r="CH20" i="84"/>
  <c r="CZ20" i="84"/>
  <c r="CY20" i="84"/>
  <c r="CQ20" i="84"/>
  <c r="CP20" i="84"/>
  <c r="CO20" i="84"/>
  <c r="CG20" i="84"/>
  <c r="CF20" i="84"/>
  <c r="DB20" i="84"/>
  <c r="CE20" i="84"/>
  <c r="BI20" i="84"/>
  <c r="BA20" i="84"/>
  <c r="AS20" i="84"/>
  <c r="AK20" i="84"/>
  <c r="BH20" i="84"/>
  <c r="AZ20" i="84"/>
  <c r="AR20" i="84"/>
  <c r="BG20" i="84"/>
  <c r="AY20" i="84"/>
  <c r="AQ20" i="84"/>
  <c r="BF20" i="84"/>
  <c r="AX20" i="84"/>
  <c r="AP20" i="84"/>
  <c r="BM20" i="84"/>
  <c r="BE20" i="84"/>
  <c r="AW20" i="84"/>
  <c r="AO20" i="84"/>
  <c r="BL20" i="84"/>
  <c r="BD20" i="84"/>
  <c r="AV20" i="84"/>
  <c r="AN20" i="84"/>
  <c r="BK20" i="84"/>
  <c r="BC20" i="84"/>
  <c r="AU20" i="84"/>
  <c r="AM20" i="84"/>
  <c r="BJ20" i="84"/>
  <c r="BB20" i="84"/>
  <c r="AT20" i="84"/>
  <c r="AL20" i="84"/>
  <c r="AJ20" i="84"/>
  <c r="CZ21" i="86"/>
  <c r="CR21" i="86"/>
  <c r="CJ21" i="86"/>
  <c r="CB21" i="86"/>
  <c r="CY21" i="86"/>
  <c r="CQ21" i="86"/>
  <c r="CI21" i="86"/>
  <c r="CA21" i="86"/>
  <c r="CX21" i="86"/>
  <c r="CP21" i="86"/>
  <c r="CH21" i="86"/>
  <c r="CW21" i="86"/>
  <c r="CO21" i="86"/>
  <c r="CG21" i="86"/>
  <c r="DD21" i="86"/>
  <c r="CV21" i="86"/>
  <c r="CN21" i="86"/>
  <c r="CF21" i="86"/>
  <c r="DC21" i="86"/>
  <c r="CU21" i="86"/>
  <c r="CM21" i="86"/>
  <c r="CE21" i="86"/>
  <c r="DA21" i="86"/>
  <c r="CS21" i="86"/>
  <c r="CL21" i="86"/>
  <c r="CK21" i="86"/>
  <c r="CD21" i="86"/>
  <c r="CC21" i="86"/>
  <c r="DB21" i="86"/>
  <c r="CT21" i="86"/>
  <c r="BM21" i="86"/>
  <c r="BE21" i="86"/>
  <c r="AW21" i="86"/>
  <c r="AO21" i="86"/>
  <c r="BJ21" i="86"/>
  <c r="BA21" i="86"/>
  <c r="AR21" i="86"/>
  <c r="BI21" i="86"/>
  <c r="AZ21" i="86"/>
  <c r="AQ21" i="86"/>
  <c r="BH21" i="86"/>
  <c r="AY21" i="86"/>
  <c r="AP21" i="86"/>
  <c r="BG21" i="86"/>
  <c r="AX21" i="86"/>
  <c r="AN21" i="86"/>
  <c r="BF21" i="86"/>
  <c r="AV21" i="86"/>
  <c r="AM21" i="86"/>
  <c r="BD21" i="86"/>
  <c r="AU21" i="86"/>
  <c r="AL21" i="86"/>
  <c r="BL21" i="86"/>
  <c r="BC21" i="86"/>
  <c r="AT21" i="86"/>
  <c r="AK21" i="86"/>
  <c r="BK21" i="86"/>
  <c r="BB21" i="86"/>
  <c r="AS21" i="86"/>
  <c r="AJ21" i="86"/>
  <c r="AM20" i="83"/>
  <c r="AU20" i="83"/>
  <c r="BC20" i="83"/>
  <c r="BK20" i="83"/>
  <c r="CA20" i="83"/>
  <c r="CI20" i="83"/>
  <c r="CQ20" i="83"/>
  <c r="CY20" i="83"/>
  <c r="CS20" i="83"/>
  <c r="AN20" i="83"/>
  <c r="AV20" i="83"/>
  <c r="BD20" i="83"/>
  <c r="BL20" i="83"/>
  <c r="CB20" i="83"/>
  <c r="CJ20" i="83"/>
  <c r="CR20" i="83"/>
  <c r="CZ20" i="83"/>
  <c r="CC20" i="83"/>
  <c r="DA20" i="83"/>
  <c r="AO20" i="83"/>
  <c r="AW20" i="83"/>
  <c r="BE20" i="83"/>
  <c r="BM20" i="83"/>
  <c r="CK20" i="83"/>
  <c r="AP20" i="83"/>
  <c r="AX20" i="83"/>
  <c r="BF20" i="83"/>
  <c r="CD20" i="83"/>
  <c r="CL20" i="83"/>
  <c r="CT20" i="83"/>
  <c r="DB20" i="83"/>
  <c r="CE20" i="83"/>
  <c r="CM20" i="83"/>
  <c r="DC20" i="83"/>
  <c r="AQ20" i="83"/>
  <c r="AY20" i="83"/>
  <c r="BG20" i="83"/>
  <c r="CU20" i="83"/>
  <c r="AL20" i="83"/>
  <c r="BI20" i="83"/>
  <c r="CF20" i="83"/>
  <c r="CX20" i="83"/>
  <c r="AR20" i="83"/>
  <c r="BJ20" i="83"/>
  <c r="CG20" i="83"/>
  <c r="DD20" i="83"/>
  <c r="AS20" i="83"/>
  <c r="CH20" i="83"/>
  <c r="AT20" i="83"/>
  <c r="CN20" i="83"/>
  <c r="AZ20" i="83"/>
  <c r="CO20" i="83"/>
  <c r="BA20" i="83"/>
  <c r="CP20" i="83"/>
  <c r="AJ20" i="83"/>
  <c r="BB20" i="83"/>
  <c r="CV20" i="83"/>
  <c r="AK20" i="83"/>
  <c r="BH20" i="83"/>
  <c r="CW20" i="83"/>
  <c r="DC20" i="85"/>
  <c r="CU20" i="85"/>
  <c r="CM20" i="85"/>
  <c r="CE20" i="85"/>
  <c r="CY20" i="85"/>
  <c r="CP20" i="85"/>
  <c r="CG20" i="85"/>
  <c r="CX20" i="85"/>
  <c r="CO20" i="85"/>
  <c r="CF20" i="85"/>
  <c r="CW20" i="85"/>
  <c r="CN20" i="85"/>
  <c r="CC20" i="85"/>
  <c r="CV20" i="85"/>
  <c r="CL20" i="85"/>
  <c r="CB20" i="85"/>
  <c r="DD20" i="85"/>
  <c r="CT20" i="85"/>
  <c r="CK20" i="85"/>
  <c r="CA20" i="85"/>
  <c r="DB20" i="85"/>
  <c r="CS20" i="85"/>
  <c r="CJ20" i="85"/>
  <c r="DA20" i="85"/>
  <c r="CR20" i="85"/>
  <c r="CI20" i="85"/>
  <c r="CH20" i="85"/>
  <c r="CZ20" i="85"/>
  <c r="CQ20" i="85"/>
  <c r="BF20" i="85"/>
  <c r="AX20" i="85"/>
  <c r="AP20" i="85"/>
  <c r="BM20" i="85"/>
  <c r="BE20" i="85"/>
  <c r="AW20" i="85"/>
  <c r="AO20" i="85"/>
  <c r="BL20" i="85"/>
  <c r="BD20" i="85"/>
  <c r="AV20" i="85"/>
  <c r="AN20" i="85"/>
  <c r="BK20" i="85"/>
  <c r="BC20" i="85"/>
  <c r="AU20" i="85"/>
  <c r="AL20" i="85"/>
  <c r="BJ20" i="85"/>
  <c r="BB20" i="85"/>
  <c r="AT20" i="85"/>
  <c r="AK20" i="85"/>
  <c r="BI20" i="85"/>
  <c r="BA20" i="85"/>
  <c r="AS20" i="85"/>
  <c r="AJ20" i="85"/>
  <c r="BH20" i="85"/>
  <c r="AZ20" i="85"/>
  <c r="AR20" i="85"/>
  <c r="BG20" i="85"/>
  <c r="AY20" i="85"/>
  <c r="AQ20" i="85"/>
  <c r="AM20" i="85"/>
  <c r="CD20" i="85"/>
  <c r="B14" i="95"/>
  <c r="BF25" i="43"/>
  <c r="BT35" i="43"/>
  <c r="BU35" i="43" s="1"/>
  <c r="B25" i="96" s="1"/>
  <c r="B13" i="47"/>
  <c r="P24" i="43"/>
  <c r="B13" i="48"/>
  <c r="AR24" i="43"/>
  <c r="B13" i="49"/>
  <c r="AD24" i="43"/>
  <c r="X8" i="23"/>
  <c r="AD8" i="24" s="1"/>
  <c r="T8" i="23"/>
  <c r="Y8" i="24" s="1"/>
  <c r="P7" i="23"/>
  <c r="T7" i="24" s="1"/>
  <c r="DE19" i="84"/>
  <c r="L19" i="84" s="1"/>
  <c r="BN20" i="90"/>
  <c r="K20" i="90" s="1"/>
  <c r="BN19" i="84"/>
  <c r="AV7" i="23"/>
  <c r="AD7" i="25"/>
  <c r="D20" i="93"/>
  <c r="AA8" i="25"/>
  <c r="AT8" i="23"/>
  <c r="Z9" i="25"/>
  <c r="AS9" i="23"/>
  <c r="B21" i="93"/>
  <c r="A22" i="93"/>
  <c r="U10" i="25"/>
  <c r="AO10" i="23"/>
  <c r="P10" i="25"/>
  <c r="AK10" i="23"/>
  <c r="F9" i="25"/>
  <c r="AC9" i="23"/>
  <c r="U10" i="23"/>
  <c r="Z10" i="24"/>
  <c r="Q10" i="23"/>
  <c r="U10" i="24"/>
  <c r="N8" i="23"/>
  <c r="D20" i="85"/>
  <c r="Q8" i="24"/>
  <c r="M9" i="23"/>
  <c r="P9" i="24"/>
  <c r="B21" i="85"/>
  <c r="A22" i="85"/>
  <c r="K9" i="24"/>
  <c r="I9" i="23"/>
  <c r="B21" i="83"/>
  <c r="F9" i="24"/>
  <c r="E9" i="23"/>
  <c r="V9" i="24"/>
  <c r="R9" i="23"/>
  <c r="L8" i="24"/>
  <c r="J8" i="23"/>
  <c r="G8" i="24"/>
  <c r="F8" i="23"/>
  <c r="V9" i="25"/>
  <c r="AP9" i="23"/>
  <c r="AR8" i="23"/>
  <c r="Y8" i="25"/>
  <c r="V9" i="23"/>
  <c r="AA9" i="24"/>
  <c r="AF7" i="23"/>
  <c r="J7" i="25"/>
  <c r="T8" i="25"/>
  <c r="AN8" i="23"/>
  <c r="G8" i="25"/>
  <c r="AD8" i="23"/>
  <c r="Q9" i="25"/>
  <c r="AL9" i="23"/>
  <c r="K10" i="25"/>
  <c r="AG10" i="23"/>
  <c r="AH9" i="23"/>
  <c r="L9" i="25"/>
  <c r="O8" i="25"/>
  <c r="AJ8" i="23"/>
  <c r="E7" i="25"/>
  <c r="AB7" i="23"/>
  <c r="Z8" i="23"/>
  <c r="B8" i="25"/>
  <c r="A9" i="25"/>
  <c r="Y9" i="23"/>
  <c r="U57" i="89"/>
  <c r="U48" i="90" s="1"/>
  <c r="F17" i="50"/>
  <c r="B22" i="92"/>
  <c r="A23" i="92"/>
  <c r="D21" i="92"/>
  <c r="D21" i="91"/>
  <c r="B22" i="91"/>
  <c r="A23" i="91"/>
  <c r="B22" i="90"/>
  <c r="A23" i="90"/>
  <c r="D21" i="90"/>
  <c r="DE20" i="90"/>
  <c r="L20" i="90" s="1"/>
  <c r="BO20" i="90"/>
  <c r="A22" i="89"/>
  <c r="B21" i="89"/>
  <c r="D20" i="89"/>
  <c r="B21" i="88"/>
  <c r="A22" i="88"/>
  <c r="D20" i="88"/>
  <c r="D21" i="87"/>
  <c r="B22" i="87"/>
  <c r="A23" i="87"/>
  <c r="B22" i="86"/>
  <c r="A23" i="86"/>
  <c r="D21" i="86"/>
  <c r="D20" i="84"/>
  <c r="L8" i="23" s="1"/>
  <c r="O8" i="24" s="1"/>
  <c r="A22" i="84"/>
  <c r="B21" i="84"/>
  <c r="D20" i="83"/>
  <c r="H8" i="23" s="1"/>
  <c r="J8" i="24" s="1"/>
  <c r="A22" i="83"/>
  <c r="CF21" i="88" l="1"/>
  <c r="CN21" i="88"/>
  <c r="CV21" i="88"/>
  <c r="DD21" i="88"/>
  <c r="CG21" i="88"/>
  <c r="CO21" i="88"/>
  <c r="CW21" i="88"/>
  <c r="CH21" i="88"/>
  <c r="CP21" i="88"/>
  <c r="CX21" i="88"/>
  <c r="CA21" i="88"/>
  <c r="CI21" i="88"/>
  <c r="CQ21" i="88"/>
  <c r="CY21" i="88"/>
  <c r="CB21" i="88"/>
  <c r="CJ21" i="88"/>
  <c r="CR21" i="88"/>
  <c r="CZ21" i="88"/>
  <c r="CC21" i="88"/>
  <c r="CK21" i="88"/>
  <c r="CS21" i="88"/>
  <c r="DA21" i="88"/>
  <c r="CD21" i="88"/>
  <c r="CL21" i="88"/>
  <c r="CT21" i="88"/>
  <c r="DB21" i="88"/>
  <c r="CE21" i="88"/>
  <c r="CM21" i="88"/>
  <c r="CU21" i="88"/>
  <c r="DC21" i="88"/>
  <c r="AN21" i="88"/>
  <c r="AV21" i="88"/>
  <c r="BD21" i="88"/>
  <c r="BL21" i="88"/>
  <c r="AO21" i="88"/>
  <c r="AW21" i="88"/>
  <c r="BE21" i="88"/>
  <c r="BM21" i="88"/>
  <c r="AP21" i="88"/>
  <c r="AX21" i="88"/>
  <c r="BF21" i="88"/>
  <c r="AQ21" i="88"/>
  <c r="AY21" i="88"/>
  <c r="BG21" i="88"/>
  <c r="AJ21" i="88"/>
  <c r="AR21" i="88"/>
  <c r="AZ21" i="88"/>
  <c r="BH21" i="88"/>
  <c r="AK21" i="88"/>
  <c r="AS21" i="88"/>
  <c r="BA21" i="88"/>
  <c r="BI21" i="88"/>
  <c r="AL21" i="88"/>
  <c r="AT21" i="88"/>
  <c r="BB21" i="88"/>
  <c r="BJ21" i="88"/>
  <c r="AM21" i="88"/>
  <c r="BC21" i="88"/>
  <c r="AU21" i="88"/>
  <c r="BK21" i="88"/>
  <c r="CW22" i="90"/>
  <c r="CO22" i="90"/>
  <c r="CF22" i="90"/>
  <c r="DB22" i="90"/>
  <c r="CT22" i="90"/>
  <c r="CL22" i="90"/>
  <c r="CC22" i="90"/>
  <c r="CY22" i="90"/>
  <c r="CN22" i="90"/>
  <c r="CB22" i="90"/>
  <c r="CX22" i="90"/>
  <c r="CM22" i="90"/>
  <c r="CA22" i="90"/>
  <c r="CV22" i="90"/>
  <c r="CK22" i="90"/>
  <c r="CU22" i="90"/>
  <c r="CJ22" i="90"/>
  <c r="DD22" i="90"/>
  <c r="CS22" i="90"/>
  <c r="CI22" i="90"/>
  <c r="DC22" i="90"/>
  <c r="CR22" i="90"/>
  <c r="CG22" i="90"/>
  <c r="DA22" i="90"/>
  <c r="CQ22" i="90"/>
  <c r="CE22" i="90"/>
  <c r="CZ22" i="90"/>
  <c r="CP22" i="90"/>
  <c r="CD22" i="90"/>
  <c r="BH22" i="90"/>
  <c r="AZ22" i="90"/>
  <c r="AR22" i="90"/>
  <c r="AS22" i="90"/>
  <c r="BG22" i="90"/>
  <c r="AY22" i="90"/>
  <c r="AP22" i="90"/>
  <c r="BF22" i="90"/>
  <c r="AX22" i="90"/>
  <c r="AO22" i="90"/>
  <c r="BA22" i="90"/>
  <c r="BM22" i="90"/>
  <c r="BE22" i="90"/>
  <c r="AW22" i="90"/>
  <c r="AN22" i="90"/>
  <c r="BL22" i="90"/>
  <c r="BD22" i="90"/>
  <c r="AV22" i="90"/>
  <c r="AM22" i="90"/>
  <c r="BK22" i="90"/>
  <c r="BC22" i="90"/>
  <c r="AU22" i="90"/>
  <c r="AL22" i="90"/>
  <c r="BJ22" i="90"/>
  <c r="BB22" i="90"/>
  <c r="AT22" i="90"/>
  <c r="AK22" i="90"/>
  <c r="BI22" i="90"/>
  <c r="AJ22" i="90"/>
  <c r="AQ22" i="90"/>
  <c r="CH22" i="90"/>
  <c r="BJ22" i="91"/>
  <c r="BB22" i="91"/>
  <c r="AT22" i="91"/>
  <c r="AL22" i="91"/>
  <c r="BI22" i="91"/>
  <c r="BA22" i="91"/>
  <c r="AS22" i="91"/>
  <c r="AK22" i="91"/>
  <c r="BH22" i="91"/>
  <c r="AZ22" i="91"/>
  <c r="AR22" i="91"/>
  <c r="AJ22" i="91"/>
  <c r="BG22" i="91"/>
  <c r="AY22" i="91"/>
  <c r="AQ22" i="91"/>
  <c r="BF22" i="91"/>
  <c r="AX22" i="91"/>
  <c r="AP22" i="91"/>
  <c r="BM22" i="91"/>
  <c r="BE22" i="91"/>
  <c r="AW22" i="91"/>
  <c r="AO22" i="91"/>
  <c r="BL22" i="91"/>
  <c r="BD22" i="91"/>
  <c r="AV22" i="91"/>
  <c r="AN22" i="91"/>
  <c r="AU22" i="91"/>
  <c r="AM22" i="91"/>
  <c r="BK22" i="91"/>
  <c r="BC22" i="91"/>
  <c r="CW22" i="91"/>
  <c r="CO22" i="91"/>
  <c r="CG22" i="91"/>
  <c r="DD22" i="91"/>
  <c r="CV22" i="91"/>
  <c r="CN22" i="91"/>
  <c r="CF22" i="91"/>
  <c r="DB22" i="91"/>
  <c r="CT22" i="91"/>
  <c r="CL22" i="91"/>
  <c r="CD22" i="91"/>
  <c r="DA22" i="91"/>
  <c r="CS22" i="91"/>
  <c r="CK22" i="91"/>
  <c r="CC22" i="91"/>
  <c r="CZ22" i="91"/>
  <c r="CR22" i="91"/>
  <c r="CJ22" i="91"/>
  <c r="CB22" i="91"/>
  <c r="CY22" i="91"/>
  <c r="CQ22" i="91"/>
  <c r="CI22" i="91"/>
  <c r="CA22" i="91"/>
  <c r="CU22" i="91"/>
  <c r="CP22" i="91"/>
  <c r="CM22" i="91"/>
  <c r="CH22" i="91"/>
  <c r="CE22" i="91"/>
  <c r="DC22" i="91"/>
  <c r="CX22" i="91"/>
  <c r="DC22" i="92"/>
  <c r="CU22" i="92"/>
  <c r="CM22" i="92"/>
  <c r="CD22" i="92"/>
  <c r="DB22" i="92"/>
  <c r="CT22" i="92"/>
  <c r="CL22" i="92"/>
  <c r="CC22" i="92"/>
  <c r="DA22" i="92"/>
  <c r="CS22" i="92"/>
  <c r="CK22" i="92"/>
  <c r="CB22" i="92"/>
  <c r="CZ22" i="92"/>
  <c r="CR22" i="92"/>
  <c r="CJ22" i="92"/>
  <c r="CA22" i="92"/>
  <c r="CY22" i="92"/>
  <c r="CQ22" i="92"/>
  <c r="CI22" i="92"/>
  <c r="CX22" i="92"/>
  <c r="CP22" i="92"/>
  <c r="CH22" i="92"/>
  <c r="CW22" i="92"/>
  <c r="CO22" i="92"/>
  <c r="CG22" i="92"/>
  <c r="DD22" i="92"/>
  <c r="CV22" i="92"/>
  <c r="CN22" i="92"/>
  <c r="CE22" i="92"/>
  <c r="BJ22" i="92"/>
  <c r="BB22" i="92"/>
  <c r="AT22" i="92"/>
  <c r="AK22" i="92"/>
  <c r="BI22" i="92"/>
  <c r="BA22" i="92"/>
  <c r="AS22" i="92"/>
  <c r="AJ22" i="92"/>
  <c r="BH22" i="92"/>
  <c r="AZ22" i="92"/>
  <c r="AR22" i="92"/>
  <c r="BG22" i="92"/>
  <c r="AY22" i="92"/>
  <c r="AQ22" i="92"/>
  <c r="BF22" i="92"/>
  <c r="AX22" i="92"/>
  <c r="AP22" i="92"/>
  <c r="BK22" i="92"/>
  <c r="BM22" i="92"/>
  <c r="BE22" i="92"/>
  <c r="AW22" i="92"/>
  <c r="AN22" i="92"/>
  <c r="AL22" i="92"/>
  <c r="BL22" i="92"/>
  <c r="BD22" i="92"/>
  <c r="AV22" i="92"/>
  <c r="AM22" i="92"/>
  <c r="AU22" i="92"/>
  <c r="BC22" i="92"/>
  <c r="CF22" i="92"/>
  <c r="AO22" i="92"/>
  <c r="DB21" i="93"/>
  <c r="CT21" i="93"/>
  <c r="CL21" i="93"/>
  <c r="CD21" i="93"/>
  <c r="DA21" i="93"/>
  <c r="CR21" i="93"/>
  <c r="CI21" i="93"/>
  <c r="CZ21" i="93"/>
  <c r="CQ21" i="93"/>
  <c r="CH21" i="93"/>
  <c r="CY21" i="93"/>
  <c r="CP21" i="93"/>
  <c r="CG21" i="93"/>
  <c r="CX21" i="93"/>
  <c r="CO21" i="93"/>
  <c r="CF21" i="93"/>
  <c r="CW21" i="93"/>
  <c r="CN21" i="93"/>
  <c r="CE21" i="93"/>
  <c r="CV21" i="93"/>
  <c r="CM21" i="93"/>
  <c r="CC21" i="93"/>
  <c r="DD21" i="93"/>
  <c r="CU21" i="93"/>
  <c r="CK21" i="93"/>
  <c r="CB21" i="93"/>
  <c r="DC21" i="93"/>
  <c r="CS21" i="93"/>
  <c r="CJ21" i="93"/>
  <c r="CA21" i="93"/>
  <c r="BF21" i="93"/>
  <c r="AX21" i="93"/>
  <c r="AP21" i="93"/>
  <c r="BM21" i="93"/>
  <c r="BE21" i="93"/>
  <c r="AW21" i="93"/>
  <c r="AO21" i="93"/>
  <c r="BL21" i="93"/>
  <c r="BD21" i="93"/>
  <c r="AV21" i="93"/>
  <c r="AN21" i="93"/>
  <c r="BJ21" i="93"/>
  <c r="BB21" i="93"/>
  <c r="AT21" i="93"/>
  <c r="AL21" i="93"/>
  <c r="BH21" i="93"/>
  <c r="AZ21" i="93"/>
  <c r="AR21" i="93"/>
  <c r="AJ21" i="93"/>
  <c r="BG21" i="93"/>
  <c r="AY21" i="93"/>
  <c r="AQ21" i="93"/>
  <c r="BC21" i="93"/>
  <c r="BA21" i="93"/>
  <c r="AU21" i="93"/>
  <c r="AS21" i="93"/>
  <c r="AM21" i="93"/>
  <c r="AK21" i="93"/>
  <c r="BK21" i="93"/>
  <c r="BI21" i="93"/>
  <c r="BO21" i="92"/>
  <c r="CW21" i="89"/>
  <c r="CO21" i="89"/>
  <c r="CG21" i="89"/>
  <c r="DD21" i="89"/>
  <c r="CV21" i="89"/>
  <c r="CN21" i="89"/>
  <c r="CF21" i="89"/>
  <c r="DC21" i="89"/>
  <c r="CU21" i="89"/>
  <c r="CM21" i="89"/>
  <c r="CE21" i="89"/>
  <c r="DB21" i="89"/>
  <c r="CT21" i="89"/>
  <c r="CL21" i="89"/>
  <c r="CD21" i="89"/>
  <c r="CZ21" i="89"/>
  <c r="CR21" i="89"/>
  <c r="CJ21" i="89"/>
  <c r="CB21" i="89"/>
  <c r="CS21" i="89"/>
  <c r="CQ21" i="89"/>
  <c r="CP21" i="89"/>
  <c r="CK21" i="89"/>
  <c r="CI21" i="89"/>
  <c r="DA21" i="89"/>
  <c r="CH21" i="89"/>
  <c r="CY21" i="89"/>
  <c r="CC21" i="89"/>
  <c r="CX21" i="89"/>
  <c r="CA21" i="89"/>
  <c r="BG21" i="89"/>
  <c r="AY21" i="89"/>
  <c r="AQ21" i="89"/>
  <c r="BF21" i="89"/>
  <c r="AX21" i="89"/>
  <c r="AP21" i="89"/>
  <c r="BM21" i="89"/>
  <c r="BE21" i="89"/>
  <c r="AW21" i="89"/>
  <c r="AO21" i="89"/>
  <c r="BL21" i="89"/>
  <c r="BD21" i="89"/>
  <c r="AV21" i="89"/>
  <c r="AN21" i="89"/>
  <c r="BK21" i="89"/>
  <c r="BC21" i="89"/>
  <c r="AU21" i="89"/>
  <c r="AM21" i="89"/>
  <c r="BJ21" i="89"/>
  <c r="BB21" i="89"/>
  <c r="AT21" i="89"/>
  <c r="AL21" i="89"/>
  <c r="BI21" i="89"/>
  <c r="BA21" i="89"/>
  <c r="AS21" i="89"/>
  <c r="AK21" i="89"/>
  <c r="AJ21" i="89"/>
  <c r="BH21" i="89"/>
  <c r="AZ21" i="89"/>
  <c r="AR21" i="89"/>
  <c r="CX22" i="87"/>
  <c r="CP22" i="87"/>
  <c r="CG22" i="87"/>
  <c r="CW22" i="87"/>
  <c r="CO22" i="87"/>
  <c r="CF22" i="87"/>
  <c r="DD22" i="87"/>
  <c r="CV22" i="87"/>
  <c r="CM22" i="87"/>
  <c r="CE22" i="87"/>
  <c r="DC22" i="87"/>
  <c r="CU22" i="87"/>
  <c r="CL22" i="87"/>
  <c r="CD22" i="87"/>
  <c r="DB22" i="87"/>
  <c r="CT22" i="87"/>
  <c r="CK22" i="87"/>
  <c r="CC22" i="87"/>
  <c r="DA22" i="87"/>
  <c r="CS22" i="87"/>
  <c r="CJ22" i="87"/>
  <c r="CB22" i="87"/>
  <c r="CZ22" i="87"/>
  <c r="CR22" i="87"/>
  <c r="CI22" i="87"/>
  <c r="CA22" i="87"/>
  <c r="CY22" i="87"/>
  <c r="CQ22" i="87"/>
  <c r="CH22" i="87"/>
  <c r="BF22" i="87"/>
  <c r="AX22" i="87"/>
  <c r="AO22" i="87"/>
  <c r="BM22" i="87"/>
  <c r="BE22" i="87"/>
  <c r="AV22" i="87"/>
  <c r="AN22" i="87"/>
  <c r="BL22" i="87"/>
  <c r="BD22" i="87"/>
  <c r="AU22" i="87"/>
  <c r="AM22" i="87"/>
  <c r="BK22" i="87"/>
  <c r="BC22" i="87"/>
  <c r="AT22" i="87"/>
  <c r="AL22" i="87"/>
  <c r="BJ22" i="87"/>
  <c r="BB22" i="87"/>
  <c r="AS22" i="87"/>
  <c r="AK22" i="87"/>
  <c r="BI22" i="87"/>
  <c r="BA22" i="87"/>
  <c r="AR22" i="87"/>
  <c r="AJ22" i="87"/>
  <c r="BH22" i="87"/>
  <c r="AZ22" i="87"/>
  <c r="AQ22" i="87"/>
  <c r="BG22" i="87"/>
  <c r="AY22" i="87"/>
  <c r="AP22" i="87"/>
  <c r="AW22" i="87"/>
  <c r="CN22" i="87"/>
  <c r="DD21" i="84"/>
  <c r="CV21" i="84"/>
  <c r="CN21" i="84"/>
  <c r="CF21" i="84"/>
  <c r="DB21" i="84"/>
  <c r="CS21" i="84"/>
  <c r="CJ21" i="84"/>
  <c r="CZ21" i="84"/>
  <c r="CP21" i="84"/>
  <c r="CE21" i="84"/>
  <c r="CY21" i="84"/>
  <c r="CO21" i="84"/>
  <c r="CD21" i="84"/>
  <c r="CX21" i="84"/>
  <c r="CM21" i="84"/>
  <c r="CC21" i="84"/>
  <c r="CW21" i="84"/>
  <c r="CL21" i="84"/>
  <c r="CA21" i="84"/>
  <c r="CU21" i="84"/>
  <c r="CK21" i="84"/>
  <c r="DA21" i="84"/>
  <c r="CT21" i="84"/>
  <c r="CR21" i="84"/>
  <c r="CQ21" i="84"/>
  <c r="CI21" i="84"/>
  <c r="CH21" i="84"/>
  <c r="CG21" i="84"/>
  <c r="DC21" i="84"/>
  <c r="BL21" i="84"/>
  <c r="BD21" i="84"/>
  <c r="AV21" i="84"/>
  <c r="AN21" i="84"/>
  <c r="BK21" i="84"/>
  <c r="BC21" i="84"/>
  <c r="AU21" i="84"/>
  <c r="AM21" i="84"/>
  <c r="BJ21" i="84"/>
  <c r="BB21" i="84"/>
  <c r="AT21" i="84"/>
  <c r="AL21" i="84"/>
  <c r="BI21" i="84"/>
  <c r="BA21" i="84"/>
  <c r="AS21" i="84"/>
  <c r="AJ21" i="84"/>
  <c r="BH21" i="84"/>
  <c r="AZ21" i="84"/>
  <c r="AR21" i="84"/>
  <c r="BG21" i="84"/>
  <c r="AY21" i="84"/>
  <c r="AQ21" i="84"/>
  <c r="BF21" i="84"/>
  <c r="AX21" i="84"/>
  <c r="AP21" i="84"/>
  <c r="AW21" i="84"/>
  <c r="AO21" i="84"/>
  <c r="BM21" i="84"/>
  <c r="BE21" i="84"/>
  <c r="DC22" i="86"/>
  <c r="CU22" i="86"/>
  <c r="CM22" i="86"/>
  <c r="CE22" i="86"/>
  <c r="DB22" i="86"/>
  <c r="CT22" i="86"/>
  <c r="CL22" i="86"/>
  <c r="CD22" i="86"/>
  <c r="DA22" i="86"/>
  <c r="CS22" i="86"/>
  <c r="CK22" i="86"/>
  <c r="CC22" i="86"/>
  <c r="CZ22" i="86"/>
  <c r="CR22" i="86"/>
  <c r="CJ22" i="86"/>
  <c r="CB22" i="86"/>
  <c r="CY22" i="86"/>
  <c r="CQ22" i="86"/>
  <c r="CI22" i="86"/>
  <c r="CX22" i="86"/>
  <c r="CP22" i="86"/>
  <c r="CH22" i="86"/>
  <c r="DD22" i="86"/>
  <c r="CV22" i="86"/>
  <c r="CO22" i="86"/>
  <c r="CN22" i="86"/>
  <c r="CG22" i="86"/>
  <c r="CF22" i="86"/>
  <c r="CW22" i="86"/>
  <c r="BH22" i="86"/>
  <c r="AZ22" i="86"/>
  <c r="AR22" i="86"/>
  <c r="BI22" i="86"/>
  <c r="AY22" i="86"/>
  <c r="AP22" i="86"/>
  <c r="BG22" i="86"/>
  <c r="AX22" i="86"/>
  <c r="AO22" i="86"/>
  <c r="BF22" i="86"/>
  <c r="AW22" i="86"/>
  <c r="AN22" i="86"/>
  <c r="BE22" i="86"/>
  <c r="AV22" i="86"/>
  <c r="AM22" i="86"/>
  <c r="BM22" i="86"/>
  <c r="BD22" i="86"/>
  <c r="AU22" i="86"/>
  <c r="AL22" i="86"/>
  <c r="BL22" i="86"/>
  <c r="BC22" i="86"/>
  <c r="AT22" i="86"/>
  <c r="AK22" i="86"/>
  <c r="BK22" i="86"/>
  <c r="BB22" i="86"/>
  <c r="AS22" i="86"/>
  <c r="BJ22" i="86"/>
  <c r="BA22" i="86"/>
  <c r="AQ22" i="86"/>
  <c r="AJ22" i="86"/>
  <c r="AO21" i="83"/>
  <c r="AW21" i="83"/>
  <c r="BE21" i="83"/>
  <c r="BM21" i="83"/>
  <c r="CC21" i="83"/>
  <c r="CK21" i="83"/>
  <c r="CS21" i="83"/>
  <c r="DA21" i="83"/>
  <c r="CE21" i="83"/>
  <c r="DC21" i="83"/>
  <c r="AP21" i="83"/>
  <c r="AX21" i="83"/>
  <c r="BF21" i="83"/>
  <c r="CD21" i="83"/>
  <c r="CL21" i="83"/>
  <c r="CT21" i="83"/>
  <c r="DB21" i="83"/>
  <c r="CM21" i="83"/>
  <c r="AQ21" i="83"/>
  <c r="AY21" i="83"/>
  <c r="BG21" i="83"/>
  <c r="CU21" i="83"/>
  <c r="AJ21" i="83"/>
  <c r="AR21" i="83"/>
  <c r="AZ21" i="83"/>
  <c r="BH21" i="83"/>
  <c r="CF21" i="83"/>
  <c r="CN21" i="83"/>
  <c r="CV21" i="83"/>
  <c r="DD21" i="83"/>
  <c r="CG21" i="83"/>
  <c r="CW21" i="83"/>
  <c r="AK21" i="83"/>
  <c r="AS21" i="83"/>
  <c r="BA21" i="83"/>
  <c r="BI21" i="83"/>
  <c r="CO21" i="83"/>
  <c r="BB21" i="83"/>
  <c r="CQ21" i="83"/>
  <c r="BC21" i="83"/>
  <c r="CR21" i="83"/>
  <c r="AL21" i="83"/>
  <c r="BD21" i="83"/>
  <c r="CA21" i="83"/>
  <c r="CX21" i="83"/>
  <c r="AM21" i="83"/>
  <c r="BJ21" i="83"/>
  <c r="CB21" i="83"/>
  <c r="CY21" i="83"/>
  <c r="AN21" i="83"/>
  <c r="BK21" i="83"/>
  <c r="CH21" i="83"/>
  <c r="CZ21" i="83"/>
  <c r="AT21" i="83"/>
  <c r="BL21" i="83"/>
  <c r="CI21" i="83"/>
  <c r="AU21" i="83"/>
  <c r="CJ21" i="83"/>
  <c r="AV21" i="83"/>
  <c r="CP21" i="83"/>
  <c r="CW21" i="85"/>
  <c r="CO21" i="85"/>
  <c r="CG21" i="85"/>
  <c r="DD21" i="85"/>
  <c r="CV21" i="85"/>
  <c r="CM21" i="85"/>
  <c r="CD21" i="85"/>
  <c r="CU21" i="85"/>
  <c r="CL21" i="85"/>
  <c r="CC21" i="85"/>
  <c r="DC21" i="85"/>
  <c r="CT21" i="85"/>
  <c r="CK21" i="85"/>
  <c r="CB21" i="85"/>
  <c r="DB21" i="85"/>
  <c r="CS21" i="85"/>
  <c r="CJ21" i="85"/>
  <c r="CA21" i="85"/>
  <c r="DA21" i="85"/>
  <c r="CR21" i="85"/>
  <c r="CI21" i="85"/>
  <c r="CZ21" i="85"/>
  <c r="CQ21" i="85"/>
  <c r="CH21" i="85"/>
  <c r="CY21" i="85"/>
  <c r="CP21" i="85"/>
  <c r="CF21" i="85"/>
  <c r="CX21" i="85"/>
  <c r="CN21" i="85"/>
  <c r="CE21" i="85"/>
  <c r="BH21" i="85"/>
  <c r="AZ21" i="85"/>
  <c r="AR21" i="85"/>
  <c r="AJ21" i="85"/>
  <c r="BG21" i="85"/>
  <c r="AY21" i="85"/>
  <c r="AQ21" i="85"/>
  <c r="BF21" i="85"/>
  <c r="AX21" i="85"/>
  <c r="AP21" i="85"/>
  <c r="BM21" i="85"/>
  <c r="BE21" i="85"/>
  <c r="AW21" i="85"/>
  <c r="AO21" i="85"/>
  <c r="BL21" i="85"/>
  <c r="BD21" i="85"/>
  <c r="AV21" i="85"/>
  <c r="AN21" i="85"/>
  <c r="BK21" i="85"/>
  <c r="BC21" i="85"/>
  <c r="AU21" i="85"/>
  <c r="AM21" i="85"/>
  <c r="BJ21" i="85"/>
  <c r="BB21" i="85"/>
  <c r="AT21" i="85"/>
  <c r="AL21" i="85"/>
  <c r="BI21" i="85"/>
  <c r="BA21" i="85"/>
  <c r="AS21" i="85"/>
  <c r="AK21" i="85"/>
  <c r="A15" i="95"/>
  <c r="BG25" i="43"/>
  <c r="BT36" i="43"/>
  <c r="BU36" i="43" s="1"/>
  <c r="A14" i="47"/>
  <c r="Q24" i="43"/>
  <c r="A14" i="48"/>
  <c r="AS24" i="43"/>
  <c r="A14" i="49"/>
  <c r="AE24" i="43"/>
  <c r="BN20" i="93"/>
  <c r="K20" i="93" s="1"/>
  <c r="X9" i="23"/>
  <c r="AD9" i="24" s="1"/>
  <c r="T9" i="23"/>
  <c r="Y9" i="24" s="1"/>
  <c r="DE21" i="86"/>
  <c r="L21" i="86" s="1"/>
  <c r="P8" i="23"/>
  <c r="T8" i="24" s="1"/>
  <c r="BN21" i="86"/>
  <c r="K21" i="86" s="1"/>
  <c r="AT9" i="23"/>
  <c r="D21" i="93"/>
  <c r="AA9" i="25"/>
  <c r="AD8" i="25"/>
  <c r="AV8" i="23"/>
  <c r="BO20" i="93"/>
  <c r="Z10" i="25"/>
  <c r="AS10" i="23"/>
  <c r="A23" i="93"/>
  <c r="B22" i="93"/>
  <c r="U11" i="25"/>
  <c r="AO11" i="23"/>
  <c r="AK11" i="23"/>
  <c r="P11" i="25"/>
  <c r="F10" i="25"/>
  <c r="AC10" i="23"/>
  <c r="Z11" i="24"/>
  <c r="U11" i="23"/>
  <c r="U11" i="24"/>
  <c r="Q11" i="23"/>
  <c r="P10" i="24"/>
  <c r="M10" i="23"/>
  <c r="B22" i="85"/>
  <c r="A23" i="85"/>
  <c r="N9" i="23"/>
  <c r="Q9" i="24"/>
  <c r="D21" i="85"/>
  <c r="K10" i="24"/>
  <c r="I10" i="23"/>
  <c r="B22" i="83"/>
  <c r="E10" i="23"/>
  <c r="F10" i="24"/>
  <c r="V10" i="24"/>
  <c r="R10" i="23"/>
  <c r="J9" i="23"/>
  <c r="L9" i="24"/>
  <c r="G9" i="24"/>
  <c r="F9" i="23"/>
  <c r="AP10" i="23"/>
  <c r="V10" i="25"/>
  <c r="J8" i="25"/>
  <c r="AF8" i="23"/>
  <c r="AA10" i="24"/>
  <c r="V10" i="23"/>
  <c r="G9" i="25"/>
  <c r="AD9" i="23"/>
  <c r="AL10" i="23"/>
  <c r="Q10" i="25"/>
  <c r="AN9" i="23"/>
  <c r="T9" i="25"/>
  <c r="Y9" i="25"/>
  <c r="AR9" i="23"/>
  <c r="K11" i="25"/>
  <c r="AG11" i="23"/>
  <c r="L10" i="25"/>
  <c r="AH10" i="23"/>
  <c r="O9" i="25"/>
  <c r="AJ9" i="23"/>
  <c r="Y10" i="23"/>
  <c r="A10" i="25"/>
  <c r="B9" i="25"/>
  <c r="Z9" i="23"/>
  <c r="E8" i="25"/>
  <c r="AB8" i="23"/>
  <c r="U56" i="90"/>
  <c r="F18" i="50"/>
  <c r="B23" i="92"/>
  <c r="A24" i="92"/>
  <c r="D22" i="92"/>
  <c r="D22" i="91"/>
  <c r="A24" i="91"/>
  <c r="B23" i="91"/>
  <c r="A24" i="90"/>
  <c r="B23" i="90"/>
  <c r="D22" i="90"/>
  <c r="D21" i="89"/>
  <c r="A23" i="89"/>
  <c r="B22" i="89"/>
  <c r="B22" i="88"/>
  <c r="A23" i="88"/>
  <c r="D21" i="88"/>
  <c r="A24" i="87"/>
  <c r="B23" i="87"/>
  <c r="D22" i="87"/>
  <c r="A24" i="86"/>
  <c r="B23" i="86"/>
  <c r="D22" i="86"/>
  <c r="D21" i="84"/>
  <c r="L9" i="23" s="1"/>
  <c r="O9" i="24" s="1"/>
  <c r="B22" i="84"/>
  <c r="A23" i="84"/>
  <c r="A23" i="83"/>
  <c r="D21" i="83"/>
  <c r="H9" i="23" s="1"/>
  <c r="J9" i="24" s="1"/>
  <c r="BL23" i="91" l="1"/>
  <c r="BD23" i="91"/>
  <c r="AV23" i="91"/>
  <c r="AN23" i="91"/>
  <c r="BK23" i="91"/>
  <c r="BC23" i="91"/>
  <c r="AU23" i="91"/>
  <c r="AM23" i="91"/>
  <c r="BJ23" i="91"/>
  <c r="BB23" i="91"/>
  <c r="AT23" i="91"/>
  <c r="AL23" i="91"/>
  <c r="BI23" i="91"/>
  <c r="BA23" i="91"/>
  <c r="AS23" i="91"/>
  <c r="AK23" i="91"/>
  <c r="BH23" i="91"/>
  <c r="AZ23" i="91"/>
  <c r="AR23" i="91"/>
  <c r="AJ23" i="91"/>
  <c r="BG23" i="91"/>
  <c r="AY23" i="91"/>
  <c r="AQ23" i="91"/>
  <c r="BF23" i="91"/>
  <c r="AX23" i="91"/>
  <c r="AP23" i="91"/>
  <c r="BM23" i="91"/>
  <c r="BE23" i="91"/>
  <c r="AW23" i="91"/>
  <c r="AO23" i="91"/>
  <c r="CY23" i="91"/>
  <c r="CQ23" i="91"/>
  <c r="CI23" i="91"/>
  <c r="CA23" i="91"/>
  <c r="CX23" i="91"/>
  <c r="CP23" i="91"/>
  <c r="CH23" i="91"/>
  <c r="DD23" i="91"/>
  <c r="CV23" i="91"/>
  <c r="CN23" i="91"/>
  <c r="CF23" i="91"/>
  <c r="DC23" i="91"/>
  <c r="CU23" i="91"/>
  <c r="CM23" i="91"/>
  <c r="CE23" i="91"/>
  <c r="DB23" i="91"/>
  <c r="CT23" i="91"/>
  <c r="CL23" i="91"/>
  <c r="CD23" i="91"/>
  <c r="DA23" i="91"/>
  <c r="CS23" i="91"/>
  <c r="CK23" i="91"/>
  <c r="CC23" i="91"/>
  <c r="CW23" i="91"/>
  <c r="CR23" i="91"/>
  <c r="CO23" i="91"/>
  <c r="CJ23" i="91"/>
  <c r="CG23" i="91"/>
  <c r="CB23" i="91"/>
  <c r="CZ23" i="91"/>
  <c r="CH22" i="88"/>
  <c r="CP22" i="88"/>
  <c r="CX22" i="88"/>
  <c r="CA22" i="88"/>
  <c r="CI22" i="88"/>
  <c r="CQ22" i="88"/>
  <c r="CY22" i="88"/>
  <c r="CB22" i="88"/>
  <c r="CJ22" i="88"/>
  <c r="CR22" i="88"/>
  <c r="CZ22" i="88"/>
  <c r="CC22" i="88"/>
  <c r="CK22" i="88"/>
  <c r="CS22" i="88"/>
  <c r="DA22" i="88"/>
  <c r="CD22" i="88"/>
  <c r="CL22" i="88"/>
  <c r="CT22" i="88"/>
  <c r="DB22" i="88"/>
  <c r="CE22" i="88"/>
  <c r="CM22" i="88"/>
  <c r="CU22" i="88"/>
  <c r="DC22" i="88"/>
  <c r="CF22" i="88"/>
  <c r="CN22" i="88"/>
  <c r="CV22" i="88"/>
  <c r="DD22" i="88"/>
  <c r="CG22" i="88"/>
  <c r="CO22" i="88"/>
  <c r="CW22" i="88"/>
  <c r="AP22" i="88"/>
  <c r="AX22" i="88"/>
  <c r="BF22" i="88"/>
  <c r="AQ22" i="88"/>
  <c r="AY22" i="88"/>
  <c r="BG22" i="88"/>
  <c r="AJ22" i="88"/>
  <c r="AR22" i="88"/>
  <c r="AZ22" i="88"/>
  <c r="BH22" i="88"/>
  <c r="AK22" i="88"/>
  <c r="AS22" i="88"/>
  <c r="BA22" i="88"/>
  <c r="BI22" i="88"/>
  <c r="AL22" i="88"/>
  <c r="AT22" i="88"/>
  <c r="BB22" i="88"/>
  <c r="BJ22" i="88"/>
  <c r="AM22" i="88"/>
  <c r="AU22" i="88"/>
  <c r="BC22" i="88"/>
  <c r="BK22" i="88"/>
  <c r="AN22" i="88"/>
  <c r="AV22" i="88"/>
  <c r="BD22" i="88"/>
  <c r="BL22" i="88"/>
  <c r="BE22" i="88"/>
  <c r="BM22" i="88"/>
  <c r="AO22" i="88"/>
  <c r="AW22" i="88"/>
  <c r="BO22" i="92"/>
  <c r="CY22" i="89"/>
  <c r="CQ22" i="89"/>
  <c r="CI22" i="89"/>
  <c r="CA22" i="89"/>
  <c r="CX22" i="89"/>
  <c r="CP22" i="89"/>
  <c r="CH22" i="89"/>
  <c r="CW22" i="89"/>
  <c r="CO22" i="89"/>
  <c r="CG22" i="89"/>
  <c r="DD22" i="89"/>
  <c r="CV22" i="89"/>
  <c r="CN22" i="89"/>
  <c r="CF22" i="89"/>
  <c r="DB22" i="89"/>
  <c r="CT22" i="89"/>
  <c r="CL22" i="89"/>
  <c r="CD22" i="89"/>
  <c r="CK22" i="89"/>
  <c r="DC22" i="89"/>
  <c r="CJ22" i="89"/>
  <c r="DA22" i="89"/>
  <c r="CE22" i="89"/>
  <c r="CZ22" i="89"/>
  <c r="CC22" i="89"/>
  <c r="CU22" i="89"/>
  <c r="CB22" i="89"/>
  <c r="CS22" i="89"/>
  <c r="CR22" i="89"/>
  <c r="CM22" i="89"/>
  <c r="BI22" i="89"/>
  <c r="BA22" i="89"/>
  <c r="AS22" i="89"/>
  <c r="AK22" i="89"/>
  <c r="BH22" i="89"/>
  <c r="AZ22" i="89"/>
  <c r="AR22" i="89"/>
  <c r="AJ22" i="89"/>
  <c r="BG22" i="89"/>
  <c r="AY22" i="89"/>
  <c r="AQ22" i="89"/>
  <c r="BF22" i="89"/>
  <c r="AX22" i="89"/>
  <c r="AP22" i="89"/>
  <c r="BM22" i="89"/>
  <c r="BE22" i="89"/>
  <c r="AW22" i="89"/>
  <c r="AO22" i="89"/>
  <c r="BL22" i="89"/>
  <c r="BD22" i="89"/>
  <c r="AV22" i="89"/>
  <c r="AN22" i="89"/>
  <c r="BK22" i="89"/>
  <c r="BC22" i="89"/>
  <c r="AU22" i="89"/>
  <c r="AM22" i="89"/>
  <c r="BJ22" i="89"/>
  <c r="BB22" i="89"/>
  <c r="AT22" i="89"/>
  <c r="AL22" i="89"/>
  <c r="BN22" i="92"/>
  <c r="CZ23" i="87"/>
  <c r="CR23" i="87"/>
  <c r="CJ23" i="87"/>
  <c r="CB23" i="87"/>
  <c r="CY23" i="87"/>
  <c r="CQ23" i="87"/>
  <c r="CI23" i="87"/>
  <c r="CA23" i="87"/>
  <c r="CX23" i="87"/>
  <c r="CP23" i="87"/>
  <c r="CH23" i="87"/>
  <c r="CW23" i="87"/>
  <c r="CO23" i="87"/>
  <c r="CG23" i="87"/>
  <c r="DD23" i="87"/>
  <c r="CV23" i="87"/>
  <c r="CN23" i="87"/>
  <c r="CF23" i="87"/>
  <c r="DC23" i="87"/>
  <c r="CU23" i="87"/>
  <c r="CM23" i="87"/>
  <c r="CE23" i="87"/>
  <c r="DB23" i="87"/>
  <c r="CT23" i="87"/>
  <c r="CL23" i="87"/>
  <c r="CD23" i="87"/>
  <c r="DA23" i="87"/>
  <c r="CS23" i="87"/>
  <c r="CK23" i="87"/>
  <c r="CC23" i="87"/>
  <c r="BH23" i="87"/>
  <c r="AZ23" i="87"/>
  <c r="AR23" i="87"/>
  <c r="AJ23" i="87"/>
  <c r="BG23" i="87"/>
  <c r="AY23" i="87"/>
  <c r="AQ23" i="87"/>
  <c r="BF23" i="87"/>
  <c r="AX23" i="87"/>
  <c r="AP23" i="87"/>
  <c r="BM23" i="87"/>
  <c r="BE23" i="87"/>
  <c r="AW23" i="87"/>
  <c r="AO23" i="87"/>
  <c r="BL23" i="87"/>
  <c r="BD23" i="87"/>
  <c r="AV23" i="87"/>
  <c r="AN23" i="87"/>
  <c r="BK23" i="87"/>
  <c r="BC23" i="87"/>
  <c r="AU23" i="87"/>
  <c r="AM23" i="87"/>
  <c r="BJ23" i="87"/>
  <c r="BB23" i="87"/>
  <c r="AT23" i="87"/>
  <c r="AL23" i="87"/>
  <c r="BI23" i="87"/>
  <c r="BA23" i="87"/>
  <c r="AS23" i="87"/>
  <c r="AK23" i="87"/>
  <c r="CX23" i="92"/>
  <c r="CP23" i="92"/>
  <c r="CH23" i="92"/>
  <c r="CW23" i="92"/>
  <c r="CO23" i="92"/>
  <c r="CF23" i="92"/>
  <c r="DD23" i="92"/>
  <c r="CV23" i="92"/>
  <c r="CN23" i="92"/>
  <c r="CE23" i="92"/>
  <c r="DC23" i="92"/>
  <c r="CU23" i="92"/>
  <c r="CM23" i="92"/>
  <c r="CD23" i="92"/>
  <c r="DB23" i="92"/>
  <c r="CT23" i="92"/>
  <c r="CL23" i="92"/>
  <c r="CC23" i="92"/>
  <c r="DA23" i="92"/>
  <c r="CS23" i="92"/>
  <c r="CK23" i="92"/>
  <c r="CB23" i="92"/>
  <c r="CZ23" i="92"/>
  <c r="CR23" i="92"/>
  <c r="CJ23" i="92"/>
  <c r="CA23" i="92"/>
  <c r="CY23" i="92"/>
  <c r="CQ23" i="92"/>
  <c r="CI23" i="92"/>
  <c r="BM23" i="92"/>
  <c r="BE23" i="92"/>
  <c r="AW23" i="92"/>
  <c r="AN23" i="92"/>
  <c r="AO23" i="92"/>
  <c r="BL23" i="92"/>
  <c r="BD23" i="92"/>
  <c r="AV23" i="92"/>
  <c r="AM23" i="92"/>
  <c r="BK23" i="92"/>
  <c r="BC23" i="92"/>
  <c r="AU23" i="92"/>
  <c r="AL23" i="92"/>
  <c r="BF23" i="92"/>
  <c r="BJ23" i="92"/>
  <c r="BB23" i="92"/>
  <c r="AT23" i="92"/>
  <c r="AK23" i="92"/>
  <c r="AX23" i="92"/>
  <c r="BI23" i="92"/>
  <c r="BA23" i="92"/>
  <c r="AS23" i="92"/>
  <c r="AJ23" i="92"/>
  <c r="BH23" i="92"/>
  <c r="AZ23" i="92"/>
  <c r="AR23" i="92"/>
  <c r="BG23" i="92"/>
  <c r="AY23" i="92"/>
  <c r="AQ23" i="92"/>
  <c r="CG23" i="92"/>
  <c r="AP23" i="92"/>
  <c r="CZ23" i="90"/>
  <c r="CR23" i="90"/>
  <c r="CJ23" i="90"/>
  <c r="CA23" i="90"/>
  <c r="CX23" i="90"/>
  <c r="CP23" i="90"/>
  <c r="CG23" i="90"/>
  <c r="CW23" i="90"/>
  <c r="CO23" i="90"/>
  <c r="CF23" i="90"/>
  <c r="CT23" i="90"/>
  <c r="CE23" i="90"/>
  <c r="DD23" i="90"/>
  <c r="CS23" i="90"/>
  <c r="CD23" i="90"/>
  <c r="DC23" i="90"/>
  <c r="CQ23" i="90"/>
  <c r="CC23" i="90"/>
  <c r="DB23" i="90"/>
  <c r="CN23" i="90"/>
  <c r="CB23" i="90"/>
  <c r="DA23" i="90"/>
  <c r="CM23" i="90"/>
  <c r="CY23" i="90"/>
  <c r="CL23" i="90"/>
  <c r="CV23" i="90"/>
  <c r="CK23" i="90"/>
  <c r="CU23" i="90"/>
  <c r="CH23" i="90"/>
  <c r="BK23" i="90"/>
  <c r="BC23" i="90"/>
  <c r="AU23" i="90"/>
  <c r="AL23" i="90"/>
  <c r="BJ23" i="90"/>
  <c r="BB23" i="90"/>
  <c r="AT23" i="90"/>
  <c r="AK23" i="90"/>
  <c r="BL23" i="90"/>
  <c r="BI23" i="90"/>
  <c r="BA23" i="90"/>
  <c r="AS23" i="90"/>
  <c r="AJ23" i="90"/>
  <c r="BH23" i="90"/>
  <c r="AZ23" i="90"/>
  <c r="AQ23" i="90"/>
  <c r="AV23" i="90"/>
  <c r="BG23" i="90"/>
  <c r="AY23" i="90"/>
  <c r="AP23" i="90"/>
  <c r="AM23" i="90"/>
  <c r="BF23" i="90"/>
  <c r="AX23" i="90"/>
  <c r="AO23" i="90"/>
  <c r="BM23" i="90"/>
  <c r="BE23" i="90"/>
  <c r="AW23" i="90"/>
  <c r="AN23" i="90"/>
  <c r="BD23" i="90"/>
  <c r="CI23" i="90"/>
  <c r="AR23" i="90"/>
  <c r="DD22" i="93"/>
  <c r="CV22" i="93"/>
  <c r="CN22" i="93"/>
  <c r="CF22" i="93"/>
  <c r="CY22" i="93"/>
  <c r="CP22" i="93"/>
  <c r="CG22" i="93"/>
  <c r="CX22" i="93"/>
  <c r="CO22" i="93"/>
  <c r="CE22" i="93"/>
  <c r="CW22" i="93"/>
  <c r="CM22" i="93"/>
  <c r="CD22" i="93"/>
  <c r="CU22" i="93"/>
  <c r="CL22" i="93"/>
  <c r="CC22" i="93"/>
  <c r="DC22" i="93"/>
  <c r="CT22" i="93"/>
  <c r="CK22" i="93"/>
  <c r="CB22" i="93"/>
  <c r="DB22" i="93"/>
  <c r="CS22" i="93"/>
  <c r="CJ22" i="93"/>
  <c r="CA22" i="93"/>
  <c r="DA22" i="93"/>
  <c r="CR22" i="93"/>
  <c r="CI22" i="93"/>
  <c r="CZ22" i="93"/>
  <c r="CQ22" i="93"/>
  <c r="CH22" i="93"/>
  <c r="BH22" i="93"/>
  <c r="AZ22" i="93"/>
  <c r="AR22" i="93"/>
  <c r="AJ22" i="93"/>
  <c r="BG22" i="93"/>
  <c r="AY22" i="93"/>
  <c r="AQ22" i="93"/>
  <c r="BF22" i="93"/>
  <c r="AX22" i="93"/>
  <c r="AP22" i="93"/>
  <c r="BL22" i="93"/>
  <c r="BD22" i="93"/>
  <c r="AV22" i="93"/>
  <c r="AN22" i="93"/>
  <c r="BJ22" i="93"/>
  <c r="BB22" i="93"/>
  <c r="AT22" i="93"/>
  <c r="AL22" i="93"/>
  <c r="BI22" i="93"/>
  <c r="BA22" i="93"/>
  <c r="AS22" i="93"/>
  <c r="AK22" i="93"/>
  <c r="BE22" i="93"/>
  <c r="BC22" i="93"/>
  <c r="AW22" i="93"/>
  <c r="AU22" i="93"/>
  <c r="AO22" i="93"/>
  <c r="AM22" i="93"/>
  <c r="BM22" i="93"/>
  <c r="BK22" i="93"/>
  <c r="AR22" i="83"/>
  <c r="BA22" i="83"/>
  <c r="BI22" i="83"/>
  <c r="CF22" i="83"/>
  <c r="CO22" i="83"/>
  <c r="CW22" i="83"/>
  <c r="CQ22" i="83"/>
  <c r="AK22" i="83"/>
  <c r="AS22" i="83"/>
  <c r="BB22" i="83"/>
  <c r="BJ22" i="83"/>
  <c r="CG22" i="83"/>
  <c r="CP22" i="83"/>
  <c r="CX22" i="83"/>
  <c r="CH22" i="83"/>
  <c r="AL22" i="83"/>
  <c r="AU22" i="83"/>
  <c r="BC22" i="83"/>
  <c r="BK22" i="83"/>
  <c r="CY22" i="83"/>
  <c r="AM22" i="83"/>
  <c r="AV22" i="83"/>
  <c r="BD22" i="83"/>
  <c r="BL22" i="83"/>
  <c r="CI22" i="83"/>
  <c r="CR22" i="83"/>
  <c r="CZ22" i="83"/>
  <c r="CB22" i="83"/>
  <c r="CS22" i="83"/>
  <c r="DA22" i="83"/>
  <c r="AN22" i="83"/>
  <c r="AW22" i="83"/>
  <c r="BE22" i="83"/>
  <c r="BM22" i="83"/>
  <c r="CJ22" i="83"/>
  <c r="AQ22" i="83"/>
  <c r="CL22" i="83"/>
  <c r="DD22" i="83"/>
  <c r="AX22" i="83"/>
  <c r="CM22" i="83"/>
  <c r="AY22" i="83"/>
  <c r="CN22" i="83"/>
  <c r="AZ22" i="83"/>
  <c r="CT22" i="83"/>
  <c r="BF22" i="83"/>
  <c r="CU22" i="83"/>
  <c r="BG22" i="83"/>
  <c r="CC22" i="83"/>
  <c r="CV22" i="83"/>
  <c r="AO22" i="83"/>
  <c r="BH22" i="83"/>
  <c r="CD22" i="83"/>
  <c r="DB22" i="83"/>
  <c r="AP22" i="83"/>
  <c r="CE22" i="83"/>
  <c r="DC22" i="83"/>
  <c r="AJ22" i="83"/>
  <c r="CK22" i="83"/>
  <c r="AT22" i="83"/>
  <c r="CW23" i="86"/>
  <c r="CO23" i="86"/>
  <c r="CG23" i="86"/>
  <c r="DD23" i="86"/>
  <c r="CV23" i="86"/>
  <c r="CN23" i="86"/>
  <c r="CF23" i="86"/>
  <c r="CT23" i="86"/>
  <c r="CJ23" i="86"/>
  <c r="DC23" i="86"/>
  <c r="CS23" i="86"/>
  <c r="CI23" i="86"/>
  <c r="DB23" i="86"/>
  <c r="CR23" i="86"/>
  <c r="CH23" i="86"/>
  <c r="DA23" i="86"/>
  <c r="CQ23" i="86"/>
  <c r="CE23" i="86"/>
  <c r="CZ23" i="86"/>
  <c r="CP23" i="86"/>
  <c r="CD23" i="86"/>
  <c r="CY23" i="86"/>
  <c r="CM23" i="86"/>
  <c r="CC23" i="86"/>
  <c r="CX23" i="86"/>
  <c r="CU23" i="86"/>
  <c r="CL23" i="86"/>
  <c r="CK23" i="86"/>
  <c r="CA23" i="86"/>
  <c r="BK23" i="86"/>
  <c r="BC23" i="86"/>
  <c r="AU23" i="86"/>
  <c r="AM23" i="86"/>
  <c r="BG23" i="86"/>
  <c r="AX23" i="86"/>
  <c r="AO23" i="86"/>
  <c r="BF23" i="86"/>
  <c r="AW23" i="86"/>
  <c r="AN23" i="86"/>
  <c r="BE23" i="86"/>
  <c r="AV23" i="86"/>
  <c r="AL23" i="86"/>
  <c r="BM23" i="86"/>
  <c r="BD23" i="86"/>
  <c r="AT23" i="86"/>
  <c r="AJ23" i="86"/>
  <c r="BL23" i="86"/>
  <c r="BB23" i="86"/>
  <c r="AS23" i="86"/>
  <c r="BJ23" i="86"/>
  <c r="BA23" i="86"/>
  <c r="AR23" i="86"/>
  <c r="BI23" i="86"/>
  <c r="AZ23" i="86"/>
  <c r="AQ23" i="86"/>
  <c r="BH23" i="86"/>
  <c r="AY23" i="86"/>
  <c r="AP23" i="86"/>
  <c r="CY22" i="84"/>
  <c r="CQ22" i="84"/>
  <c r="CI22" i="84"/>
  <c r="DA22" i="84"/>
  <c r="CR22" i="84"/>
  <c r="CH22" i="84"/>
  <c r="CX22" i="84"/>
  <c r="CO22" i="84"/>
  <c r="CT22" i="84"/>
  <c r="CG22" i="84"/>
  <c r="DD22" i="84"/>
  <c r="CS22" i="84"/>
  <c r="CF22" i="84"/>
  <c r="DC22" i="84"/>
  <c r="CP22" i="84"/>
  <c r="CE22" i="84"/>
  <c r="DB22" i="84"/>
  <c r="CN22" i="84"/>
  <c r="CD22" i="84"/>
  <c r="CZ22" i="84"/>
  <c r="CM22" i="84"/>
  <c r="CB22" i="84"/>
  <c r="CW22" i="84"/>
  <c r="CV22" i="84"/>
  <c r="CU22" i="84"/>
  <c r="CL22" i="84"/>
  <c r="CK22" i="84"/>
  <c r="CJ22" i="84"/>
  <c r="CA22" i="84"/>
  <c r="BG22" i="84"/>
  <c r="AY22" i="84"/>
  <c r="AQ22" i="84"/>
  <c r="BF22" i="84"/>
  <c r="AX22" i="84"/>
  <c r="AP22" i="84"/>
  <c r="BM22" i="84"/>
  <c r="BE22" i="84"/>
  <c r="AW22" i="84"/>
  <c r="AO22" i="84"/>
  <c r="BL22" i="84"/>
  <c r="BD22" i="84"/>
  <c r="AV22" i="84"/>
  <c r="AN22" i="84"/>
  <c r="BK22" i="84"/>
  <c r="BC22" i="84"/>
  <c r="AU22" i="84"/>
  <c r="AM22" i="84"/>
  <c r="BJ22" i="84"/>
  <c r="BB22" i="84"/>
  <c r="AT22" i="84"/>
  <c r="AK22" i="84"/>
  <c r="BI22" i="84"/>
  <c r="BA22" i="84"/>
  <c r="AS22" i="84"/>
  <c r="AJ22" i="84"/>
  <c r="BH22" i="84"/>
  <c r="AZ22" i="84"/>
  <c r="AR22" i="84"/>
  <c r="AL22" i="84"/>
  <c r="CY22" i="85"/>
  <c r="CQ22" i="85"/>
  <c r="CI22" i="85"/>
  <c r="CA22" i="85"/>
  <c r="CX22" i="85"/>
  <c r="CP22" i="85"/>
  <c r="CH22" i="85"/>
  <c r="CW22" i="85"/>
  <c r="CM22" i="85"/>
  <c r="CC22" i="85"/>
  <c r="CV22" i="85"/>
  <c r="CL22" i="85"/>
  <c r="CB22" i="85"/>
  <c r="CU22" i="85"/>
  <c r="CK22" i="85"/>
  <c r="DD22" i="85"/>
  <c r="CT22" i="85"/>
  <c r="CJ22" i="85"/>
  <c r="DC22" i="85"/>
  <c r="CS22" i="85"/>
  <c r="CG22" i="85"/>
  <c r="DB22" i="85"/>
  <c r="CR22" i="85"/>
  <c r="CF22" i="85"/>
  <c r="DA22" i="85"/>
  <c r="CO22" i="85"/>
  <c r="CE22" i="85"/>
  <c r="CZ22" i="85"/>
  <c r="CN22" i="85"/>
  <c r="CD22" i="85"/>
  <c r="BJ22" i="85"/>
  <c r="BB22" i="85"/>
  <c r="AT22" i="85"/>
  <c r="AL22" i="85"/>
  <c r="BI22" i="85"/>
  <c r="BA22" i="85"/>
  <c r="AS22" i="85"/>
  <c r="AK22" i="85"/>
  <c r="BH22" i="85"/>
  <c r="AZ22" i="85"/>
  <c r="AR22" i="85"/>
  <c r="AJ22" i="85"/>
  <c r="BG22" i="85"/>
  <c r="AY22" i="85"/>
  <c r="AQ22" i="85"/>
  <c r="BF22" i="85"/>
  <c r="AX22" i="85"/>
  <c r="AP22" i="85"/>
  <c r="BM22" i="85"/>
  <c r="BE22" i="85"/>
  <c r="AW22" i="85"/>
  <c r="AO22" i="85"/>
  <c r="BL22" i="85"/>
  <c r="BD22" i="85"/>
  <c r="AV22" i="85"/>
  <c r="AN22" i="85"/>
  <c r="BK22" i="85"/>
  <c r="BC22" i="85"/>
  <c r="AU22" i="85"/>
  <c r="AM22" i="85"/>
  <c r="B15" i="95"/>
  <c r="BF26" i="43"/>
  <c r="BT37" i="43"/>
  <c r="BU37" i="43" s="1"/>
  <c r="B26" i="96"/>
  <c r="B14" i="47"/>
  <c r="P25" i="43"/>
  <c r="B14" i="48"/>
  <c r="AR25" i="43"/>
  <c r="B14" i="49"/>
  <c r="AD25" i="43"/>
  <c r="DE21" i="83"/>
  <c r="X10" i="23"/>
  <c r="AD10" i="24" s="1"/>
  <c r="T10" i="23"/>
  <c r="Y10" i="24" s="1"/>
  <c r="P9" i="23"/>
  <c r="T9" i="24" s="1"/>
  <c r="BN21" i="83"/>
  <c r="K22" i="92"/>
  <c r="AA10" i="25"/>
  <c r="AT10" i="23"/>
  <c r="D22" i="93"/>
  <c r="AD9" i="25"/>
  <c r="AV9" i="23"/>
  <c r="AS11" i="23"/>
  <c r="Z11" i="25"/>
  <c r="A24" i="93"/>
  <c r="B23" i="93"/>
  <c r="AO12" i="23"/>
  <c r="U12" i="25"/>
  <c r="P12" i="25"/>
  <c r="AK12" i="23"/>
  <c r="AC11" i="23"/>
  <c r="F11" i="25"/>
  <c r="Z12" i="24"/>
  <c r="U12" i="23"/>
  <c r="U12" i="24"/>
  <c r="Q12" i="23"/>
  <c r="P11" i="24"/>
  <c r="M11" i="23"/>
  <c r="B23" i="85"/>
  <c r="A24" i="85"/>
  <c r="D22" i="85"/>
  <c r="Q10" i="24"/>
  <c r="N10" i="23"/>
  <c r="I11" i="23"/>
  <c r="K11" i="24"/>
  <c r="B23" i="83"/>
  <c r="E11" i="23"/>
  <c r="F11" i="24"/>
  <c r="V11" i="24"/>
  <c r="R11" i="23"/>
  <c r="L10" i="24"/>
  <c r="J10" i="23"/>
  <c r="F10" i="23"/>
  <c r="G10" i="24"/>
  <c r="AN10" i="23"/>
  <c r="T10" i="25"/>
  <c r="V11" i="23"/>
  <c r="AA11" i="24"/>
  <c r="V11" i="25"/>
  <c r="AP11" i="23"/>
  <c r="G10" i="25"/>
  <c r="AD10" i="23"/>
  <c r="AR10" i="23"/>
  <c r="Y10" i="25"/>
  <c r="J9" i="25"/>
  <c r="AF9" i="23"/>
  <c r="Q11" i="25"/>
  <c r="AL11" i="23"/>
  <c r="AH11" i="23"/>
  <c r="L11" i="25"/>
  <c r="K12" i="25"/>
  <c r="AG12" i="23"/>
  <c r="O10" i="25"/>
  <c r="AJ10" i="23"/>
  <c r="A11" i="25"/>
  <c r="Y11" i="23"/>
  <c r="Z10" i="23"/>
  <c r="B10" i="25"/>
  <c r="E9" i="25"/>
  <c r="AB9" i="23"/>
  <c r="B24" i="92"/>
  <c r="A25" i="92"/>
  <c r="W22" i="92"/>
  <c r="W45" i="92" s="1"/>
  <c r="D23" i="92"/>
  <c r="D23" i="91"/>
  <c r="B24" i="91"/>
  <c r="A25" i="91"/>
  <c r="D23" i="90"/>
  <c r="A25" i="90"/>
  <c r="B24" i="90"/>
  <c r="D22" i="89"/>
  <c r="B23" i="89"/>
  <c r="A24" i="89"/>
  <c r="A24" i="88"/>
  <c r="B23" i="88"/>
  <c r="D22" i="88"/>
  <c r="D23" i="87"/>
  <c r="A25" i="87"/>
  <c r="B24" i="87"/>
  <c r="A25" i="86"/>
  <c r="B24" i="86"/>
  <c r="D23" i="86"/>
  <c r="D22" i="84"/>
  <c r="L10" i="23" s="1"/>
  <c r="O10" i="24" s="1"/>
  <c r="A24" i="84"/>
  <c r="B23" i="84"/>
  <c r="A24" i="83"/>
  <c r="D22" i="83"/>
  <c r="H10" i="23" s="1"/>
  <c r="J10" i="24" s="1"/>
  <c r="BN23" i="92" l="1"/>
  <c r="BO23" i="92"/>
  <c r="DB24" i="87"/>
  <c r="CT24" i="87"/>
  <c r="CL24" i="87"/>
  <c r="CD24" i="87"/>
  <c r="DA24" i="87"/>
  <c r="CS24" i="87"/>
  <c r="CK24" i="87"/>
  <c r="CC24" i="87"/>
  <c r="CZ24" i="87"/>
  <c r="CR24" i="87"/>
  <c r="CJ24" i="87"/>
  <c r="CB24" i="87"/>
  <c r="CY24" i="87"/>
  <c r="CQ24" i="87"/>
  <c r="CI24" i="87"/>
  <c r="CA24" i="87"/>
  <c r="CX24" i="87"/>
  <c r="CP24" i="87"/>
  <c r="CH24" i="87"/>
  <c r="CW24" i="87"/>
  <c r="CO24" i="87"/>
  <c r="CG24" i="87"/>
  <c r="DD24" i="87"/>
  <c r="CV24" i="87"/>
  <c r="CN24" i="87"/>
  <c r="CF24" i="87"/>
  <c r="DC24" i="87"/>
  <c r="CU24" i="87"/>
  <c r="CM24" i="87"/>
  <c r="CE24" i="87"/>
  <c r="BJ24" i="87"/>
  <c r="BB24" i="87"/>
  <c r="AT24" i="87"/>
  <c r="AL24" i="87"/>
  <c r="BI24" i="87"/>
  <c r="BA24" i="87"/>
  <c r="AS24" i="87"/>
  <c r="AK24" i="87"/>
  <c r="BH24" i="87"/>
  <c r="AZ24" i="87"/>
  <c r="AR24" i="87"/>
  <c r="AJ24" i="87"/>
  <c r="BG24" i="87"/>
  <c r="AY24" i="87"/>
  <c r="AQ24" i="87"/>
  <c r="BF24" i="87"/>
  <c r="AX24" i="87"/>
  <c r="AP24" i="87"/>
  <c r="BM24" i="87"/>
  <c r="BE24" i="87"/>
  <c r="AW24" i="87"/>
  <c r="AO24" i="87"/>
  <c r="BL24" i="87"/>
  <c r="BD24" i="87"/>
  <c r="AV24" i="87"/>
  <c r="AN24" i="87"/>
  <c r="BK24" i="87"/>
  <c r="BC24" i="87"/>
  <c r="AU24" i="87"/>
  <c r="AM24" i="87"/>
  <c r="CB23" i="88"/>
  <c r="CJ23" i="88"/>
  <c r="CR23" i="88"/>
  <c r="CZ23" i="88"/>
  <c r="CC23" i="88"/>
  <c r="CK23" i="88"/>
  <c r="CS23" i="88"/>
  <c r="DA23" i="88"/>
  <c r="CD23" i="88"/>
  <c r="CL23" i="88"/>
  <c r="CT23" i="88"/>
  <c r="DB23" i="88"/>
  <c r="CE23" i="88"/>
  <c r="CM23" i="88"/>
  <c r="CU23" i="88"/>
  <c r="DC23" i="88"/>
  <c r="CF23" i="88"/>
  <c r="CN23" i="88"/>
  <c r="CV23" i="88"/>
  <c r="DD23" i="88"/>
  <c r="CG23" i="88"/>
  <c r="CO23" i="88"/>
  <c r="CW23" i="88"/>
  <c r="CH23" i="88"/>
  <c r="CP23" i="88"/>
  <c r="CX23" i="88"/>
  <c r="CA23" i="88"/>
  <c r="CI23" i="88"/>
  <c r="CQ23" i="88"/>
  <c r="CY23" i="88"/>
  <c r="AJ23" i="88"/>
  <c r="AR23" i="88"/>
  <c r="AZ23" i="88"/>
  <c r="BH23" i="88"/>
  <c r="AK23" i="88"/>
  <c r="AS23" i="88"/>
  <c r="BA23" i="88"/>
  <c r="BI23" i="88"/>
  <c r="AL23" i="88"/>
  <c r="AT23" i="88"/>
  <c r="BB23" i="88"/>
  <c r="BJ23" i="88"/>
  <c r="AM23" i="88"/>
  <c r="AU23" i="88"/>
  <c r="BC23" i="88"/>
  <c r="BK23" i="88"/>
  <c r="AN23" i="88"/>
  <c r="AV23" i="88"/>
  <c r="BD23" i="88"/>
  <c r="BL23" i="88"/>
  <c r="AO23" i="88"/>
  <c r="AW23" i="88"/>
  <c r="BE23" i="88"/>
  <c r="BM23" i="88"/>
  <c r="AP23" i="88"/>
  <c r="AX23" i="88"/>
  <c r="BF23" i="88"/>
  <c r="AQ23" i="88"/>
  <c r="BG23" i="88"/>
  <c r="AY23" i="88"/>
  <c r="DB23" i="89"/>
  <c r="CT23" i="89"/>
  <c r="CL23" i="89"/>
  <c r="CD23" i="89"/>
  <c r="DA23" i="89"/>
  <c r="CS23" i="89"/>
  <c r="CK23" i="89"/>
  <c r="CC23" i="89"/>
  <c r="CZ23" i="89"/>
  <c r="CR23" i="89"/>
  <c r="CJ23" i="89"/>
  <c r="CB23" i="89"/>
  <c r="CY23" i="89"/>
  <c r="CQ23" i="89"/>
  <c r="CI23" i="89"/>
  <c r="CW23" i="89"/>
  <c r="CO23" i="89"/>
  <c r="CG23" i="89"/>
  <c r="DD23" i="89"/>
  <c r="CV23" i="89"/>
  <c r="DC23" i="89"/>
  <c r="CE23" i="89"/>
  <c r="CX23" i="89"/>
  <c r="CU23" i="89"/>
  <c r="CP23" i="89"/>
  <c r="CN23" i="89"/>
  <c r="CM23" i="89"/>
  <c r="CH23" i="89"/>
  <c r="CF23" i="89"/>
  <c r="BL23" i="89"/>
  <c r="BD23" i="89"/>
  <c r="AV23" i="89"/>
  <c r="AN23" i="89"/>
  <c r="BK23" i="89"/>
  <c r="BC23" i="89"/>
  <c r="AU23" i="89"/>
  <c r="AM23" i="89"/>
  <c r="BJ23" i="89"/>
  <c r="BB23" i="89"/>
  <c r="AT23" i="89"/>
  <c r="AL23" i="89"/>
  <c r="BI23" i="89"/>
  <c r="BA23" i="89"/>
  <c r="AS23" i="89"/>
  <c r="AK23" i="89"/>
  <c r="BH23" i="89"/>
  <c r="AZ23" i="89"/>
  <c r="AR23" i="89"/>
  <c r="BG23" i="89"/>
  <c r="AY23" i="89"/>
  <c r="AQ23" i="89"/>
  <c r="BF23" i="89"/>
  <c r="AX23" i="89"/>
  <c r="AP23" i="89"/>
  <c r="AO23" i="89"/>
  <c r="BM23" i="89"/>
  <c r="BE23" i="89"/>
  <c r="AW23" i="89"/>
  <c r="AJ23" i="89"/>
  <c r="CX23" i="93"/>
  <c r="CP23" i="93"/>
  <c r="CH23" i="93"/>
  <c r="CV23" i="93"/>
  <c r="CM23" i="93"/>
  <c r="CD23" i="93"/>
  <c r="DD23" i="93"/>
  <c r="CU23" i="93"/>
  <c r="CL23" i="93"/>
  <c r="CC23" i="93"/>
  <c r="DC23" i="93"/>
  <c r="CT23" i="93"/>
  <c r="CK23" i="93"/>
  <c r="CB23" i="93"/>
  <c r="DB23" i="93"/>
  <c r="CS23" i="93"/>
  <c r="CJ23" i="93"/>
  <c r="CA23" i="93"/>
  <c r="DA23" i="93"/>
  <c r="CR23" i="93"/>
  <c r="CI23" i="93"/>
  <c r="CZ23" i="93"/>
  <c r="CQ23" i="93"/>
  <c r="CG23" i="93"/>
  <c r="CY23" i="93"/>
  <c r="CO23" i="93"/>
  <c r="CF23" i="93"/>
  <c r="CW23" i="93"/>
  <c r="CN23" i="93"/>
  <c r="CE23" i="93"/>
  <c r="BJ23" i="93"/>
  <c r="BB23" i="93"/>
  <c r="AT23" i="93"/>
  <c r="AL23" i="93"/>
  <c r="BI23" i="93"/>
  <c r="BA23" i="93"/>
  <c r="AS23" i="93"/>
  <c r="AK23" i="93"/>
  <c r="BH23" i="93"/>
  <c r="AZ23" i="93"/>
  <c r="AR23" i="93"/>
  <c r="AJ23" i="93"/>
  <c r="BF23" i="93"/>
  <c r="AX23" i="93"/>
  <c r="AP23" i="93"/>
  <c r="BL23" i="93"/>
  <c r="BD23" i="93"/>
  <c r="AV23" i="93"/>
  <c r="AN23" i="93"/>
  <c r="BK23" i="93"/>
  <c r="BC23" i="93"/>
  <c r="AU23" i="93"/>
  <c r="AM23" i="93"/>
  <c r="BG23" i="93"/>
  <c r="BE23" i="93"/>
  <c r="AY23" i="93"/>
  <c r="AW23" i="93"/>
  <c r="AQ23" i="93"/>
  <c r="AO23" i="93"/>
  <c r="BM23" i="93"/>
  <c r="DB24" i="90"/>
  <c r="CT24" i="90"/>
  <c r="CL24" i="90"/>
  <c r="CD24" i="90"/>
  <c r="DA24" i="90"/>
  <c r="CS24" i="90"/>
  <c r="CK24" i="90"/>
  <c r="CC24" i="90"/>
  <c r="CZ24" i="90"/>
  <c r="CR24" i="90"/>
  <c r="CJ24" i="90"/>
  <c r="CB24" i="90"/>
  <c r="CY24" i="90"/>
  <c r="CQ24" i="90"/>
  <c r="CI24" i="90"/>
  <c r="CA24" i="90"/>
  <c r="CU24" i="90"/>
  <c r="CE24" i="90"/>
  <c r="CP24" i="90"/>
  <c r="CO24" i="90"/>
  <c r="DD24" i="90"/>
  <c r="CN24" i="90"/>
  <c r="DC24" i="90"/>
  <c r="CM24" i="90"/>
  <c r="CX24" i="90"/>
  <c r="CH24" i="90"/>
  <c r="CW24" i="90"/>
  <c r="CG24" i="90"/>
  <c r="CV24" i="90"/>
  <c r="CF24" i="90"/>
  <c r="BM24" i="90"/>
  <c r="BE24" i="90"/>
  <c r="AW24" i="90"/>
  <c r="AO24" i="90"/>
  <c r="BF24" i="90"/>
  <c r="BL24" i="90"/>
  <c r="BD24" i="90"/>
  <c r="AV24" i="90"/>
  <c r="AN24" i="90"/>
  <c r="BK24" i="90"/>
  <c r="BC24" i="90"/>
  <c r="AU24" i="90"/>
  <c r="AM24" i="90"/>
  <c r="AX24" i="90"/>
  <c r="BJ24" i="90"/>
  <c r="BB24" i="90"/>
  <c r="AT24" i="90"/>
  <c r="AL24" i="90"/>
  <c r="BI24" i="90"/>
  <c r="BA24" i="90"/>
  <c r="AS24" i="90"/>
  <c r="AK24" i="90"/>
  <c r="BH24" i="90"/>
  <c r="AZ24" i="90"/>
  <c r="AR24" i="90"/>
  <c r="AJ24" i="90"/>
  <c r="AP24" i="90"/>
  <c r="BG24" i="90"/>
  <c r="AY24" i="90"/>
  <c r="AQ24" i="90"/>
  <c r="DA24" i="92"/>
  <c r="CS24" i="92"/>
  <c r="CK24" i="92"/>
  <c r="CB24" i="92"/>
  <c r="CZ24" i="92"/>
  <c r="CR24" i="92"/>
  <c r="CJ24" i="92"/>
  <c r="CA24" i="92"/>
  <c r="CY24" i="92"/>
  <c r="CQ24" i="92"/>
  <c r="CI24" i="92"/>
  <c r="CX24" i="92"/>
  <c r="CP24" i="92"/>
  <c r="CG24" i="92"/>
  <c r="CW24" i="92"/>
  <c r="CO24" i="92"/>
  <c r="CF24" i="92"/>
  <c r="DD24" i="92"/>
  <c r="CV24" i="92"/>
  <c r="CN24" i="92"/>
  <c r="CE24" i="92"/>
  <c r="DC24" i="92"/>
  <c r="CU24" i="92"/>
  <c r="CM24" i="92"/>
  <c r="CD24" i="92"/>
  <c r="DB24" i="92"/>
  <c r="CT24" i="92"/>
  <c r="CL24" i="92"/>
  <c r="CC24" i="92"/>
  <c r="BH24" i="92"/>
  <c r="AZ24" i="92"/>
  <c r="AR24" i="92"/>
  <c r="BG24" i="92"/>
  <c r="AY24" i="92"/>
  <c r="AP24" i="92"/>
  <c r="BA24" i="92"/>
  <c r="BF24" i="92"/>
  <c r="AX24" i="92"/>
  <c r="AO24" i="92"/>
  <c r="BM24" i="92"/>
  <c r="BE24" i="92"/>
  <c r="AW24" i="92"/>
  <c r="AN24" i="92"/>
  <c r="BL24" i="92"/>
  <c r="BD24" i="92"/>
  <c r="AV24" i="92"/>
  <c r="AM24" i="92"/>
  <c r="BK24" i="92"/>
  <c r="BC24" i="92"/>
  <c r="AU24" i="92"/>
  <c r="AL24" i="92"/>
  <c r="AJ24" i="92"/>
  <c r="BJ24" i="92"/>
  <c r="BB24" i="92"/>
  <c r="AT24" i="92"/>
  <c r="AK24" i="92"/>
  <c r="AS24" i="92"/>
  <c r="BI24" i="92"/>
  <c r="AQ24" i="92"/>
  <c r="CH24" i="92"/>
  <c r="BF24" i="91"/>
  <c r="AX24" i="91"/>
  <c r="AP24" i="91"/>
  <c r="BM24" i="91"/>
  <c r="BE24" i="91"/>
  <c r="AW24" i="91"/>
  <c r="AO24" i="91"/>
  <c r="BL24" i="91"/>
  <c r="BD24" i="91"/>
  <c r="AV24" i="91"/>
  <c r="AN24" i="91"/>
  <c r="BK24" i="91"/>
  <c r="BC24" i="91"/>
  <c r="AU24" i="91"/>
  <c r="AM24" i="91"/>
  <c r="BJ24" i="91"/>
  <c r="BB24" i="91"/>
  <c r="AT24" i="91"/>
  <c r="AL24" i="91"/>
  <c r="BI24" i="91"/>
  <c r="BA24" i="91"/>
  <c r="AS24" i="91"/>
  <c r="AK24" i="91"/>
  <c r="BH24" i="91"/>
  <c r="AZ24" i="91"/>
  <c r="AR24" i="91"/>
  <c r="AJ24" i="91"/>
  <c r="AY24" i="91"/>
  <c r="AQ24" i="91"/>
  <c r="BG24" i="91"/>
  <c r="DA24" i="91"/>
  <c r="CS24" i="91"/>
  <c r="CK24" i="91"/>
  <c r="CC24" i="91"/>
  <c r="CZ24" i="91"/>
  <c r="CR24" i="91"/>
  <c r="CJ24" i="91"/>
  <c r="CB24" i="91"/>
  <c r="CX24" i="91"/>
  <c r="CP24" i="91"/>
  <c r="CH24" i="91"/>
  <c r="CW24" i="91"/>
  <c r="CO24" i="91"/>
  <c r="CG24" i="91"/>
  <c r="DD24" i="91"/>
  <c r="CV24" i="91"/>
  <c r="CN24" i="91"/>
  <c r="CF24" i="91"/>
  <c r="DC24" i="91"/>
  <c r="CU24" i="91"/>
  <c r="CM24" i="91"/>
  <c r="CE24" i="91"/>
  <c r="CY24" i="91"/>
  <c r="CT24" i="91"/>
  <c r="CQ24" i="91"/>
  <c r="CL24" i="91"/>
  <c r="CI24" i="91"/>
  <c r="CD24" i="91"/>
  <c r="CA24" i="91"/>
  <c r="DB24" i="91"/>
  <c r="DB23" i="84"/>
  <c r="CT23" i="84"/>
  <c r="CL23" i="84"/>
  <c r="CC23" i="84"/>
  <c r="CY23" i="84"/>
  <c r="CP23" i="84"/>
  <c r="CG23" i="84"/>
  <c r="CW23" i="84"/>
  <c r="CN23" i="84"/>
  <c r="CE23" i="84"/>
  <c r="DA23" i="84"/>
  <c r="CO23" i="84"/>
  <c r="CA23" i="84"/>
  <c r="CZ23" i="84"/>
  <c r="CM23" i="84"/>
  <c r="CX23" i="84"/>
  <c r="CK23" i="84"/>
  <c r="CV23" i="84"/>
  <c r="CJ23" i="84"/>
  <c r="CU23" i="84"/>
  <c r="CI23" i="84"/>
  <c r="DD23" i="84"/>
  <c r="DC23" i="84"/>
  <c r="CS23" i="84"/>
  <c r="CR23" i="84"/>
  <c r="CQ23" i="84"/>
  <c r="CH23" i="84"/>
  <c r="CF23" i="84"/>
  <c r="CB23" i="84"/>
  <c r="BJ23" i="84"/>
  <c r="BB23" i="84"/>
  <c r="AT23" i="84"/>
  <c r="AK23" i="84"/>
  <c r="BI23" i="84"/>
  <c r="BA23" i="84"/>
  <c r="AS23" i="84"/>
  <c r="AJ23" i="84"/>
  <c r="BH23" i="84"/>
  <c r="AZ23" i="84"/>
  <c r="AR23" i="84"/>
  <c r="BG23" i="84"/>
  <c r="AY23" i="84"/>
  <c r="AQ23" i="84"/>
  <c r="BF23" i="84"/>
  <c r="AX23" i="84"/>
  <c r="AP23" i="84"/>
  <c r="BM23" i="84"/>
  <c r="BE23" i="84"/>
  <c r="AW23" i="84"/>
  <c r="AO23" i="84"/>
  <c r="BL23" i="84"/>
  <c r="BD23" i="84"/>
  <c r="AV23" i="84"/>
  <c r="AN23" i="84"/>
  <c r="BC23" i="84"/>
  <c r="AU23" i="84"/>
  <c r="AL23" i="84"/>
  <c r="BK23" i="84"/>
  <c r="CD23" i="84"/>
  <c r="AM23" i="84"/>
  <c r="DA23" i="85"/>
  <c r="CS23" i="85"/>
  <c r="CK23" i="85"/>
  <c r="CC23" i="85"/>
  <c r="CZ23" i="85"/>
  <c r="CR23" i="85"/>
  <c r="CJ23" i="85"/>
  <c r="CB23" i="85"/>
  <c r="CY23" i="85"/>
  <c r="CO23" i="85"/>
  <c r="CE23" i="85"/>
  <c r="CX23" i="85"/>
  <c r="CN23" i="85"/>
  <c r="CD23" i="85"/>
  <c r="CW23" i="85"/>
  <c r="CM23" i="85"/>
  <c r="CA23" i="85"/>
  <c r="CV23" i="85"/>
  <c r="CL23" i="85"/>
  <c r="CU23" i="85"/>
  <c r="CI23" i="85"/>
  <c r="DD23" i="85"/>
  <c r="CT23" i="85"/>
  <c r="CH23" i="85"/>
  <c r="DC23" i="85"/>
  <c r="CQ23" i="85"/>
  <c r="CG23" i="85"/>
  <c r="DB23" i="85"/>
  <c r="CP23" i="85"/>
  <c r="CF23" i="85"/>
  <c r="BL23" i="85"/>
  <c r="BD23" i="85"/>
  <c r="AV23" i="85"/>
  <c r="AN23" i="85"/>
  <c r="BK23" i="85"/>
  <c r="BC23" i="85"/>
  <c r="AU23" i="85"/>
  <c r="AM23" i="85"/>
  <c r="BJ23" i="85"/>
  <c r="BB23" i="85"/>
  <c r="AT23" i="85"/>
  <c r="AL23" i="85"/>
  <c r="BI23" i="85"/>
  <c r="BA23" i="85"/>
  <c r="AS23" i="85"/>
  <c r="AK23" i="85"/>
  <c r="BH23" i="85"/>
  <c r="AZ23" i="85"/>
  <c r="AR23" i="85"/>
  <c r="AJ23" i="85"/>
  <c r="BG23" i="85"/>
  <c r="AY23" i="85"/>
  <c r="AQ23" i="85"/>
  <c r="BF23" i="85"/>
  <c r="AX23" i="85"/>
  <c r="AP23" i="85"/>
  <c r="BM23" i="85"/>
  <c r="BE23" i="85"/>
  <c r="AW23" i="85"/>
  <c r="AO23" i="85"/>
  <c r="AN23" i="83"/>
  <c r="AW23" i="83"/>
  <c r="BE23" i="83"/>
  <c r="BM23" i="83"/>
  <c r="CA23" i="83"/>
  <c r="CJ23" i="83"/>
  <c r="CS23" i="83"/>
  <c r="DA23" i="83"/>
  <c r="CM23" i="83"/>
  <c r="DC23" i="83"/>
  <c r="AO23" i="83"/>
  <c r="AX23" i="83"/>
  <c r="BF23" i="83"/>
  <c r="CC23" i="83"/>
  <c r="CK23" i="83"/>
  <c r="CT23" i="83"/>
  <c r="DB23" i="83"/>
  <c r="CD23" i="83"/>
  <c r="CU23" i="83"/>
  <c r="AP23" i="83"/>
  <c r="AY23" i="83"/>
  <c r="BG23" i="83"/>
  <c r="AQ23" i="83"/>
  <c r="AZ23" i="83"/>
  <c r="BH23" i="83"/>
  <c r="CE23" i="83"/>
  <c r="CN23" i="83"/>
  <c r="CV23" i="83"/>
  <c r="DD23" i="83"/>
  <c r="CO23" i="83"/>
  <c r="CW23" i="83"/>
  <c r="AR23" i="83"/>
  <c r="BA23" i="83"/>
  <c r="BI23" i="83"/>
  <c r="CF23" i="83"/>
  <c r="AL23" i="83"/>
  <c r="BJ23" i="83"/>
  <c r="CY23" i="83"/>
  <c r="AM23" i="83"/>
  <c r="BK23" i="83"/>
  <c r="CG23" i="83"/>
  <c r="CZ23" i="83"/>
  <c r="AS23" i="83"/>
  <c r="BL23" i="83"/>
  <c r="CH23" i="83"/>
  <c r="AT23" i="83"/>
  <c r="CI23" i="83"/>
  <c r="AV23" i="83"/>
  <c r="CP23" i="83"/>
  <c r="BB23" i="83"/>
  <c r="CQ23" i="83"/>
  <c r="BC23" i="83"/>
  <c r="CR23" i="83"/>
  <c r="AJ23" i="83"/>
  <c r="BD23" i="83"/>
  <c r="CX23" i="83"/>
  <c r="CL23" i="83"/>
  <c r="AU23" i="83"/>
  <c r="CZ24" i="86"/>
  <c r="CR24" i="86"/>
  <c r="CJ24" i="86"/>
  <c r="CA24" i="86"/>
  <c r="CY24" i="86"/>
  <c r="CQ24" i="86"/>
  <c r="CI24" i="86"/>
  <c r="CW24" i="86"/>
  <c r="CM24" i="86"/>
  <c r="CB24" i="86"/>
  <c r="CV24" i="86"/>
  <c r="CL24" i="86"/>
  <c r="CU24" i="86"/>
  <c r="CK24" i="86"/>
  <c r="DD24" i="86"/>
  <c r="CT24" i="86"/>
  <c r="CH24" i="86"/>
  <c r="DC24" i="86"/>
  <c r="CS24" i="86"/>
  <c r="CG24" i="86"/>
  <c r="DB24" i="86"/>
  <c r="CP24" i="86"/>
  <c r="CF24" i="86"/>
  <c r="CN24" i="86"/>
  <c r="CD24" i="86"/>
  <c r="DA24" i="86"/>
  <c r="CX24" i="86"/>
  <c r="CO24" i="86"/>
  <c r="CE24" i="86"/>
  <c r="BF24" i="86"/>
  <c r="AX24" i="86"/>
  <c r="AP24" i="86"/>
  <c r="BE24" i="86"/>
  <c r="AV24" i="86"/>
  <c r="AM24" i="86"/>
  <c r="BM24" i="86"/>
  <c r="BD24" i="86"/>
  <c r="AU24" i="86"/>
  <c r="AK24" i="86"/>
  <c r="BL24" i="86"/>
  <c r="BC24" i="86"/>
  <c r="AT24" i="86"/>
  <c r="AJ24" i="86"/>
  <c r="BK24" i="86"/>
  <c r="BB24" i="86"/>
  <c r="AS24" i="86"/>
  <c r="BJ24" i="86"/>
  <c r="BA24" i="86"/>
  <c r="AR24" i="86"/>
  <c r="BI24" i="86"/>
  <c r="AZ24" i="86"/>
  <c r="AQ24" i="86"/>
  <c r="BH24" i="86"/>
  <c r="AY24" i="86"/>
  <c r="AO24" i="86"/>
  <c r="BG24" i="86"/>
  <c r="AW24" i="86"/>
  <c r="AN24" i="86"/>
  <c r="AL24" i="86"/>
  <c r="A16" i="95"/>
  <c r="BG26" i="43"/>
  <c r="BT38" i="43"/>
  <c r="BU38" i="43" s="1"/>
  <c r="B27" i="96"/>
  <c r="A15" i="47"/>
  <c r="Q25" i="43"/>
  <c r="A15" i="48"/>
  <c r="AS25" i="43"/>
  <c r="A15" i="49"/>
  <c r="AE25" i="43"/>
  <c r="DE22" i="88"/>
  <c r="L22" i="88" s="1"/>
  <c r="X11" i="23"/>
  <c r="AD11" i="24" s="1"/>
  <c r="T11" i="23"/>
  <c r="Y11" i="24" s="1"/>
  <c r="P10" i="23"/>
  <c r="T10" i="24" s="1"/>
  <c r="BN22" i="88"/>
  <c r="K22" i="88" s="1"/>
  <c r="AD10" i="25"/>
  <c r="AV10" i="23"/>
  <c r="AA11" i="25"/>
  <c r="D23" i="93"/>
  <c r="AT11" i="23"/>
  <c r="Z12" i="25"/>
  <c r="AS12" i="23"/>
  <c r="B24" i="93"/>
  <c r="A25" i="93"/>
  <c r="AO13" i="23"/>
  <c r="U13" i="25"/>
  <c r="AK13" i="23"/>
  <c r="P13" i="25"/>
  <c r="F12" i="25"/>
  <c r="AC12" i="23"/>
  <c r="U13" i="23"/>
  <c r="Z13" i="24"/>
  <c r="Q13" i="23"/>
  <c r="U13" i="24"/>
  <c r="P12" i="24"/>
  <c r="M12" i="23"/>
  <c r="B24" i="85"/>
  <c r="A25" i="85"/>
  <c r="N11" i="23"/>
  <c r="Q11" i="24"/>
  <c r="D23" i="85"/>
  <c r="I12" i="23"/>
  <c r="K12" i="24"/>
  <c r="B24" i="83"/>
  <c r="F12" i="24"/>
  <c r="E12" i="23"/>
  <c r="V12" i="24"/>
  <c r="R12" i="23"/>
  <c r="J11" i="23"/>
  <c r="L11" i="24"/>
  <c r="G11" i="24"/>
  <c r="F11" i="23"/>
  <c r="AA12" i="24"/>
  <c r="V12" i="23"/>
  <c r="J10" i="25"/>
  <c r="AF10" i="23"/>
  <c r="Y11" i="25"/>
  <c r="AR11" i="23"/>
  <c r="AP12" i="23"/>
  <c r="V12" i="25"/>
  <c r="AL12" i="23"/>
  <c r="Q12" i="25"/>
  <c r="AN11" i="23"/>
  <c r="T11" i="25"/>
  <c r="G11" i="25"/>
  <c r="AD11" i="23"/>
  <c r="O11" i="25"/>
  <c r="AJ11" i="23"/>
  <c r="K13" i="25"/>
  <c r="AG13" i="23"/>
  <c r="L12" i="25"/>
  <c r="AH12" i="23"/>
  <c r="E10" i="25"/>
  <c r="AB10" i="23"/>
  <c r="B11" i="25"/>
  <c r="Z11" i="23"/>
  <c r="Y12" i="23"/>
  <c r="A12" i="25"/>
  <c r="V22" i="92"/>
  <c r="V45" i="92" s="1"/>
  <c r="A26" i="92"/>
  <c r="B25" i="92"/>
  <c r="D24" i="92"/>
  <c r="D24" i="91"/>
  <c r="A26" i="91"/>
  <c r="B25" i="91"/>
  <c r="BO23" i="91"/>
  <c r="A26" i="90"/>
  <c r="B25" i="90"/>
  <c r="D24" i="90"/>
  <c r="A25" i="89"/>
  <c r="B24" i="89"/>
  <c r="D23" i="89"/>
  <c r="D23" i="88"/>
  <c r="B24" i="88"/>
  <c r="A25" i="88"/>
  <c r="D24" i="87"/>
  <c r="A26" i="87"/>
  <c r="B25" i="87"/>
  <c r="D24" i="86"/>
  <c r="A26" i="86"/>
  <c r="B25" i="86"/>
  <c r="B24" i="84"/>
  <c r="A25" i="84"/>
  <c r="D23" i="84"/>
  <c r="L11" i="23" s="1"/>
  <c r="O11" i="24" s="1"/>
  <c r="D23" i="83"/>
  <c r="H11" i="23" s="1"/>
  <c r="J11" i="24" s="1"/>
  <c r="A25" i="83"/>
  <c r="BN24" i="92" l="1"/>
  <c r="CW24" i="89"/>
  <c r="CO24" i="89"/>
  <c r="CG24" i="89"/>
  <c r="DD24" i="89"/>
  <c r="CV24" i="89"/>
  <c r="CN24" i="89"/>
  <c r="CF24" i="89"/>
  <c r="DC24" i="89"/>
  <c r="CU24" i="89"/>
  <c r="CM24" i="89"/>
  <c r="CE24" i="89"/>
  <c r="DB24" i="89"/>
  <c r="CT24" i="89"/>
  <c r="CL24" i="89"/>
  <c r="CD24" i="89"/>
  <c r="CZ24" i="89"/>
  <c r="CR24" i="89"/>
  <c r="CJ24" i="89"/>
  <c r="CA24" i="89"/>
  <c r="CY24" i="89"/>
  <c r="CQ24" i="89"/>
  <c r="CI24" i="89"/>
  <c r="CX24" i="89"/>
  <c r="CP24" i="89"/>
  <c r="DA24" i="89"/>
  <c r="CS24" i="89"/>
  <c r="CK24" i="89"/>
  <c r="CH24" i="89"/>
  <c r="CC24" i="89"/>
  <c r="BG24" i="89"/>
  <c r="AY24" i="89"/>
  <c r="AQ24" i="89"/>
  <c r="BF24" i="89"/>
  <c r="AX24" i="89"/>
  <c r="AP24" i="89"/>
  <c r="BM24" i="89"/>
  <c r="BE24" i="89"/>
  <c r="AW24" i="89"/>
  <c r="AO24" i="89"/>
  <c r="BL24" i="89"/>
  <c r="BD24" i="89"/>
  <c r="AV24" i="89"/>
  <c r="AN24" i="89"/>
  <c r="BK24" i="89"/>
  <c r="BC24" i="89"/>
  <c r="AU24" i="89"/>
  <c r="AM24" i="89"/>
  <c r="BJ24" i="89"/>
  <c r="BB24" i="89"/>
  <c r="AT24" i="89"/>
  <c r="AL24" i="89"/>
  <c r="BI24" i="89"/>
  <c r="BA24" i="89"/>
  <c r="AS24" i="89"/>
  <c r="AJ24" i="89"/>
  <c r="BH24" i="89"/>
  <c r="AZ24" i="89"/>
  <c r="AR24" i="89"/>
  <c r="BI25" i="91"/>
  <c r="BA25" i="91"/>
  <c r="AS25" i="91"/>
  <c r="AJ25" i="91"/>
  <c r="BH25" i="91"/>
  <c r="AZ25" i="91"/>
  <c r="AR25" i="91"/>
  <c r="BG25" i="91"/>
  <c r="AY25" i="91"/>
  <c r="AQ25" i="91"/>
  <c r="BF25" i="91"/>
  <c r="AX25" i="91"/>
  <c r="AP25" i="91"/>
  <c r="BM25" i="91"/>
  <c r="BE25" i="91"/>
  <c r="AW25" i="91"/>
  <c r="AN25" i="91"/>
  <c r="BL25" i="91"/>
  <c r="BD25" i="91"/>
  <c r="AV25" i="91"/>
  <c r="AM25" i="91"/>
  <c r="BK25" i="91"/>
  <c r="BC25" i="91"/>
  <c r="AU25" i="91"/>
  <c r="AL25" i="91"/>
  <c r="BJ25" i="91"/>
  <c r="BB25" i="91"/>
  <c r="AT25" i="91"/>
  <c r="AK25" i="91"/>
  <c r="DD25" i="91"/>
  <c r="CV25" i="91"/>
  <c r="CN25" i="91"/>
  <c r="CE25" i="91"/>
  <c r="DC25" i="91"/>
  <c r="CU25" i="91"/>
  <c r="CM25" i="91"/>
  <c r="CD25" i="91"/>
  <c r="DA25" i="91"/>
  <c r="CS25" i="91"/>
  <c r="CK25" i="91"/>
  <c r="CB25" i="91"/>
  <c r="CZ25" i="91"/>
  <c r="CR25" i="91"/>
  <c r="CJ25" i="91"/>
  <c r="CA25" i="91"/>
  <c r="CY25" i="91"/>
  <c r="CQ25" i="91"/>
  <c r="CI25" i="91"/>
  <c r="CX25" i="91"/>
  <c r="CP25" i="91"/>
  <c r="CH25" i="91"/>
  <c r="DB25" i="91"/>
  <c r="CW25" i="91"/>
  <c r="CT25" i="91"/>
  <c r="CO25" i="91"/>
  <c r="CL25" i="91"/>
  <c r="CG25" i="91"/>
  <c r="CC25" i="91"/>
  <c r="CF25" i="91"/>
  <c r="AO25" i="91"/>
  <c r="DD25" i="87"/>
  <c r="CV25" i="87"/>
  <c r="CN25" i="87"/>
  <c r="CF25" i="87"/>
  <c r="DC25" i="87"/>
  <c r="CU25" i="87"/>
  <c r="CM25" i="87"/>
  <c r="CE25" i="87"/>
  <c r="DB25" i="87"/>
  <c r="CT25" i="87"/>
  <c r="CL25" i="87"/>
  <c r="CD25" i="87"/>
  <c r="DA25" i="87"/>
  <c r="CS25" i="87"/>
  <c r="CK25" i="87"/>
  <c r="CC25" i="87"/>
  <c r="CZ25" i="87"/>
  <c r="CR25" i="87"/>
  <c r="CJ25" i="87"/>
  <c r="CB25" i="87"/>
  <c r="CY25" i="87"/>
  <c r="CQ25" i="87"/>
  <c r="CI25" i="87"/>
  <c r="CA25" i="87"/>
  <c r="CX25" i="87"/>
  <c r="CP25" i="87"/>
  <c r="CH25" i="87"/>
  <c r="CW25" i="87"/>
  <c r="CO25" i="87"/>
  <c r="CG25" i="87"/>
  <c r="BF25" i="87"/>
  <c r="BM25" i="87"/>
  <c r="BD25" i="87"/>
  <c r="AV25" i="87"/>
  <c r="AN25" i="87"/>
  <c r="BL25" i="87"/>
  <c r="BC25" i="87"/>
  <c r="AU25" i="87"/>
  <c r="AM25" i="87"/>
  <c r="BK25" i="87"/>
  <c r="BB25" i="87"/>
  <c r="AT25" i="87"/>
  <c r="AL25" i="87"/>
  <c r="BJ25" i="87"/>
  <c r="BA25" i="87"/>
  <c r="AS25" i="87"/>
  <c r="AK25" i="87"/>
  <c r="BI25" i="87"/>
  <c r="AZ25" i="87"/>
  <c r="AR25" i="87"/>
  <c r="AJ25" i="87"/>
  <c r="BH25" i="87"/>
  <c r="AY25" i="87"/>
  <c r="AQ25" i="87"/>
  <c r="BG25" i="87"/>
  <c r="AX25" i="87"/>
  <c r="AP25" i="87"/>
  <c r="BE25" i="87"/>
  <c r="AW25" i="87"/>
  <c r="AO25" i="87"/>
  <c r="DD25" i="92"/>
  <c r="CV25" i="92"/>
  <c r="CN25" i="92"/>
  <c r="CE25" i="92"/>
  <c r="DC25" i="92"/>
  <c r="CU25" i="92"/>
  <c r="CM25" i="92"/>
  <c r="CD25" i="92"/>
  <c r="DB25" i="92"/>
  <c r="CT25" i="92"/>
  <c r="CL25" i="92"/>
  <c r="CC25" i="92"/>
  <c r="DA25" i="92"/>
  <c r="CS25" i="92"/>
  <c r="CK25" i="92"/>
  <c r="CB25" i="92"/>
  <c r="CZ25" i="92"/>
  <c r="CR25" i="92"/>
  <c r="CJ25" i="92"/>
  <c r="CA25" i="92"/>
  <c r="CY25" i="92"/>
  <c r="CQ25" i="92"/>
  <c r="CH25" i="92"/>
  <c r="CX25" i="92"/>
  <c r="CP25" i="92"/>
  <c r="CG25" i="92"/>
  <c r="CW25" i="92"/>
  <c r="CO25" i="92"/>
  <c r="CF25" i="92"/>
  <c r="BK25" i="92"/>
  <c r="BC25" i="92"/>
  <c r="AU25" i="92"/>
  <c r="AL25" i="92"/>
  <c r="AV25" i="92"/>
  <c r="BJ25" i="92"/>
  <c r="BB25" i="92"/>
  <c r="AT25" i="92"/>
  <c r="AK25" i="92"/>
  <c r="BI25" i="92"/>
  <c r="BA25" i="92"/>
  <c r="AS25" i="92"/>
  <c r="AJ25" i="92"/>
  <c r="BL25" i="92"/>
  <c r="BH25" i="92"/>
  <c r="AZ25" i="92"/>
  <c r="AQ25" i="92"/>
  <c r="BD25" i="92"/>
  <c r="BG25" i="92"/>
  <c r="AY25" i="92"/>
  <c r="AP25" i="92"/>
  <c r="AM25" i="92"/>
  <c r="BF25" i="92"/>
  <c r="AX25" i="92"/>
  <c r="AO25" i="92"/>
  <c r="BM25" i="92"/>
  <c r="BE25" i="92"/>
  <c r="AW25" i="92"/>
  <c r="AN25" i="92"/>
  <c r="CI25" i="92"/>
  <c r="AR25" i="92"/>
  <c r="DD25" i="90"/>
  <c r="CV25" i="90"/>
  <c r="CN25" i="90"/>
  <c r="CF25" i="90"/>
  <c r="DC25" i="90"/>
  <c r="CU25" i="90"/>
  <c r="CM25" i="90"/>
  <c r="CE25" i="90"/>
  <c r="DB25" i="90"/>
  <c r="CT25" i="90"/>
  <c r="CL25" i="90"/>
  <c r="CD25" i="90"/>
  <c r="DA25" i="90"/>
  <c r="CS25" i="90"/>
  <c r="CK25" i="90"/>
  <c r="CC25" i="90"/>
  <c r="CW25" i="90"/>
  <c r="CG25" i="90"/>
  <c r="CR25" i="90"/>
  <c r="CB25" i="90"/>
  <c r="CQ25" i="90"/>
  <c r="CA25" i="90"/>
  <c r="CP25" i="90"/>
  <c r="CO25" i="90"/>
  <c r="CZ25" i="90"/>
  <c r="CJ25" i="90"/>
  <c r="CY25" i="90"/>
  <c r="CI25" i="90"/>
  <c r="CX25" i="90"/>
  <c r="CH25" i="90"/>
  <c r="BG25" i="90"/>
  <c r="AY25" i="90"/>
  <c r="AQ25" i="90"/>
  <c r="BF25" i="90"/>
  <c r="AX25" i="90"/>
  <c r="AP25" i="90"/>
  <c r="BM25" i="90"/>
  <c r="BE25" i="90"/>
  <c r="AW25" i="90"/>
  <c r="AO25" i="90"/>
  <c r="BL25" i="90"/>
  <c r="BD25" i="90"/>
  <c r="AV25" i="90"/>
  <c r="AN25" i="90"/>
  <c r="BH25" i="90"/>
  <c r="BK25" i="90"/>
  <c r="BC25" i="90"/>
  <c r="AU25" i="90"/>
  <c r="AM25" i="90"/>
  <c r="AR25" i="90"/>
  <c r="BJ25" i="90"/>
  <c r="BB25" i="90"/>
  <c r="AT25" i="90"/>
  <c r="AL25" i="90"/>
  <c r="BI25" i="90"/>
  <c r="BA25" i="90"/>
  <c r="AS25" i="90"/>
  <c r="AK25" i="90"/>
  <c r="AJ25" i="90"/>
  <c r="AZ25" i="90"/>
  <c r="CZ24" i="93"/>
  <c r="CR24" i="93"/>
  <c r="CJ24" i="93"/>
  <c r="CB24" i="93"/>
  <c r="DC24" i="93"/>
  <c r="CT24" i="93"/>
  <c r="CK24" i="93"/>
  <c r="CA24" i="93"/>
  <c r="DB24" i="93"/>
  <c r="CS24" i="93"/>
  <c r="CI24" i="93"/>
  <c r="DA24" i="93"/>
  <c r="CQ24" i="93"/>
  <c r="CH24" i="93"/>
  <c r="CY24" i="93"/>
  <c r="CP24" i="93"/>
  <c r="CG24" i="93"/>
  <c r="CX24" i="93"/>
  <c r="CO24" i="93"/>
  <c r="CF24" i="93"/>
  <c r="CW24" i="93"/>
  <c r="CN24" i="93"/>
  <c r="CE24" i="93"/>
  <c r="CV24" i="93"/>
  <c r="CM24" i="93"/>
  <c r="CD24" i="93"/>
  <c r="DD24" i="93"/>
  <c r="CU24" i="93"/>
  <c r="CL24" i="93"/>
  <c r="CC24" i="93"/>
  <c r="BL24" i="93"/>
  <c r="BD24" i="93"/>
  <c r="AV24" i="93"/>
  <c r="AN24" i="93"/>
  <c r="BK24" i="93"/>
  <c r="BC24" i="93"/>
  <c r="AU24" i="93"/>
  <c r="AM24" i="93"/>
  <c r="BJ24" i="93"/>
  <c r="BB24" i="93"/>
  <c r="AT24" i="93"/>
  <c r="AL24" i="93"/>
  <c r="BH24" i="93"/>
  <c r="AZ24" i="93"/>
  <c r="AR24" i="93"/>
  <c r="AJ24" i="93"/>
  <c r="BF24" i="93"/>
  <c r="AX24" i="93"/>
  <c r="AP24" i="93"/>
  <c r="BM24" i="93"/>
  <c r="BE24" i="93"/>
  <c r="AW24" i="93"/>
  <c r="AO24" i="93"/>
  <c r="BI24" i="93"/>
  <c r="BG24" i="93"/>
  <c r="BA24" i="93"/>
  <c r="AY24" i="93"/>
  <c r="AS24" i="93"/>
  <c r="AQ24" i="93"/>
  <c r="AK24" i="93"/>
  <c r="CD24" i="88"/>
  <c r="CL24" i="88"/>
  <c r="CT24" i="88"/>
  <c r="DB24" i="88"/>
  <c r="CE24" i="88"/>
  <c r="CM24" i="88"/>
  <c r="CU24" i="88"/>
  <c r="DC24" i="88"/>
  <c r="CF24" i="88"/>
  <c r="CN24" i="88"/>
  <c r="CV24" i="88"/>
  <c r="DD24" i="88"/>
  <c r="CG24" i="88"/>
  <c r="CO24" i="88"/>
  <c r="CW24" i="88"/>
  <c r="CH24" i="88"/>
  <c r="CP24" i="88"/>
  <c r="CX24" i="88"/>
  <c r="CA24" i="88"/>
  <c r="CI24" i="88"/>
  <c r="CQ24" i="88"/>
  <c r="CY24" i="88"/>
  <c r="CB24" i="88"/>
  <c r="CJ24" i="88"/>
  <c r="CR24" i="88"/>
  <c r="CZ24" i="88"/>
  <c r="CC24" i="88"/>
  <c r="CK24" i="88"/>
  <c r="CS24" i="88"/>
  <c r="DA24" i="88"/>
  <c r="AL24" i="88"/>
  <c r="AT24" i="88"/>
  <c r="BB24" i="88"/>
  <c r="BJ24" i="88"/>
  <c r="AM24" i="88"/>
  <c r="AU24" i="88"/>
  <c r="BC24" i="88"/>
  <c r="BK24" i="88"/>
  <c r="AN24" i="88"/>
  <c r="AV24" i="88"/>
  <c r="BD24" i="88"/>
  <c r="BL24" i="88"/>
  <c r="AO24" i="88"/>
  <c r="AW24" i="88"/>
  <c r="BE24" i="88"/>
  <c r="BM24" i="88"/>
  <c r="AP24" i="88"/>
  <c r="AX24" i="88"/>
  <c r="BF24" i="88"/>
  <c r="AQ24" i="88"/>
  <c r="AY24" i="88"/>
  <c r="BG24" i="88"/>
  <c r="AJ24" i="88"/>
  <c r="AR24" i="88"/>
  <c r="AZ24" i="88"/>
  <c r="BH24" i="88"/>
  <c r="BI24" i="88"/>
  <c r="AS24" i="88"/>
  <c r="BA24" i="88"/>
  <c r="AK24" i="88"/>
  <c r="BO24" i="92"/>
  <c r="DD24" i="84"/>
  <c r="CV24" i="84"/>
  <c r="CN24" i="84"/>
  <c r="CF24" i="84"/>
  <c r="CW24" i="84"/>
  <c r="CM24" i="84"/>
  <c r="CD24" i="84"/>
  <c r="DC24" i="84"/>
  <c r="CT24" i="84"/>
  <c r="CK24" i="84"/>
  <c r="CB24" i="84"/>
  <c r="CU24" i="84"/>
  <c r="CI24" i="84"/>
  <c r="CS24" i="84"/>
  <c r="CH24" i="84"/>
  <c r="CR24" i="84"/>
  <c r="CG24" i="84"/>
  <c r="DB24" i="84"/>
  <c r="CQ24" i="84"/>
  <c r="CE24" i="84"/>
  <c r="DA24" i="84"/>
  <c r="CP24" i="84"/>
  <c r="CC24" i="84"/>
  <c r="CZ24" i="84"/>
  <c r="CY24" i="84"/>
  <c r="CX24" i="84"/>
  <c r="CO24" i="84"/>
  <c r="CL24" i="84"/>
  <c r="CJ24" i="84"/>
  <c r="CA24" i="84"/>
  <c r="BL24" i="84"/>
  <c r="BD24" i="84"/>
  <c r="AV24" i="84"/>
  <c r="AN24" i="84"/>
  <c r="BK24" i="84"/>
  <c r="BC24" i="84"/>
  <c r="AU24" i="84"/>
  <c r="AM24" i="84"/>
  <c r="BJ24" i="84"/>
  <c r="BB24" i="84"/>
  <c r="AT24" i="84"/>
  <c r="AL24" i="84"/>
  <c r="BI24" i="84"/>
  <c r="BA24" i="84"/>
  <c r="AS24" i="84"/>
  <c r="AK24" i="84"/>
  <c r="BH24" i="84"/>
  <c r="AZ24" i="84"/>
  <c r="AR24" i="84"/>
  <c r="AJ24" i="84"/>
  <c r="BG24" i="84"/>
  <c r="AY24" i="84"/>
  <c r="AQ24" i="84"/>
  <c r="BF24" i="84"/>
  <c r="AX24" i="84"/>
  <c r="AP24" i="84"/>
  <c r="BM24" i="84"/>
  <c r="BE24" i="84"/>
  <c r="AW24" i="84"/>
  <c r="AO24" i="84"/>
  <c r="DC25" i="86"/>
  <c r="CU25" i="86"/>
  <c r="CM25" i="86"/>
  <c r="CE25" i="86"/>
  <c r="DB25" i="86"/>
  <c r="CT25" i="86"/>
  <c r="CL25" i="86"/>
  <c r="CC25" i="86"/>
  <c r="CZ25" i="86"/>
  <c r="CP25" i="86"/>
  <c r="CF25" i="86"/>
  <c r="CY25" i="86"/>
  <c r="CO25" i="86"/>
  <c r="CB25" i="86"/>
  <c r="CX25" i="86"/>
  <c r="CN25" i="86"/>
  <c r="CA25" i="86"/>
  <c r="CW25" i="86"/>
  <c r="CK25" i="86"/>
  <c r="CV25" i="86"/>
  <c r="CJ25" i="86"/>
  <c r="CS25" i="86"/>
  <c r="CI25" i="86"/>
  <c r="DA25" i="86"/>
  <c r="CQ25" i="86"/>
  <c r="CH25" i="86"/>
  <c r="CG25" i="86"/>
  <c r="CR25" i="86"/>
  <c r="DD25" i="86"/>
  <c r="BI25" i="86"/>
  <c r="BA25" i="86"/>
  <c r="AS25" i="86"/>
  <c r="AJ25" i="86"/>
  <c r="BM25" i="86"/>
  <c r="BD25" i="86"/>
  <c r="AU25" i="86"/>
  <c r="AK25" i="86"/>
  <c r="BL25" i="86"/>
  <c r="BC25" i="86"/>
  <c r="AT25" i="86"/>
  <c r="BK25" i="86"/>
  <c r="BB25" i="86"/>
  <c r="AR25" i="86"/>
  <c r="BJ25" i="86"/>
  <c r="AZ25" i="86"/>
  <c r="AQ25" i="86"/>
  <c r="BH25" i="86"/>
  <c r="AY25" i="86"/>
  <c r="AP25" i="86"/>
  <c r="BG25" i="86"/>
  <c r="AX25" i="86"/>
  <c r="AO25" i="86"/>
  <c r="BF25" i="86"/>
  <c r="AW25" i="86"/>
  <c r="AN25" i="86"/>
  <c r="BE25" i="86"/>
  <c r="AV25" i="86"/>
  <c r="AL25" i="86"/>
  <c r="AM25" i="86"/>
  <c r="CD25" i="86"/>
  <c r="DD24" i="85"/>
  <c r="CV24" i="85"/>
  <c r="CN24" i="85"/>
  <c r="CF24" i="85"/>
  <c r="DC24" i="85"/>
  <c r="CU24" i="85"/>
  <c r="CM24" i="85"/>
  <c r="CE24" i="85"/>
  <c r="DB24" i="85"/>
  <c r="CR24" i="85"/>
  <c r="CH24" i="85"/>
  <c r="DA24" i="85"/>
  <c r="CQ24" i="85"/>
  <c r="CG24" i="85"/>
  <c r="CZ24" i="85"/>
  <c r="CP24" i="85"/>
  <c r="CD24" i="85"/>
  <c r="CY24" i="85"/>
  <c r="CO24" i="85"/>
  <c r="CC24" i="85"/>
  <c r="CX24" i="85"/>
  <c r="CL24" i="85"/>
  <c r="CB24" i="85"/>
  <c r="CW24" i="85"/>
  <c r="CK24" i="85"/>
  <c r="CT24" i="85"/>
  <c r="CJ24" i="85"/>
  <c r="CS24" i="85"/>
  <c r="CI24" i="85"/>
  <c r="BG24" i="85"/>
  <c r="AY24" i="85"/>
  <c r="AQ24" i="85"/>
  <c r="BF24" i="85"/>
  <c r="AX24" i="85"/>
  <c r="AP24" i="85"/>
  <c r="BM24" i="85"/>
  <c r="BE24" i="85"/>
  <c r="AW24" i="85"/>
  <c r="AO24" i="85"/>
  <c r="BL24" i="85"/>
  <c r="BD24" i="85"/>
  <c r="AV24" i="85"/>
  <c r="AN24" i="85"/>
  <c r="BK24" i="85"/>
  <c r="BC24" i="85"/>
  <c r="AU24" i="85"/>
  <c r="AM24" i="85"/>
  <c r="BJ24" i="85"/>
  <c r="BB24" i="85"/>
  <c r="AT24" i="85"/>
  <c r="AL24" i="85"/>
  <c r="BI24" i="85"/>
  <c r="BA24" i="85"/>
  <c r="AS24" i="85"/>
  <c r="AK24" i="85"/>
  <c r="BH24" i="85"/>
  <c r="AZ24" i="85"/>
  <c r="AR24" i="85"/>
  <c r="AJ24" i="85"/>
  <c r="AR24" i="83"/>
  <c r="BA24" i="83"/>
  <c r="BI24" i="83"/>
  <c r="CF24" i="83"/>
  <c r="CO24" i="83"/>
  <c r="CW24" i="83"/>
  <c r="CY24" i="83"/>
  <c r="AJ24" i="83"/>
  <c r="AS24" i="83"/>
  <c r="BB24" i="83"/>
  <c r="BJ24" i="83"/>
  <c r="CG24" i="83"/>
  <c r="CP24" i="83"/>
  <c r="CX24" i="83"/>
  <c r="CQ24" i="83"/>
  <c r="AK24" i="83"/>
  <c r="AT24" i="83"/>
  <c r="BC24" i="83"/>
  <c r="BK24" i="83"/>
  <c r="CH24" i="83"/>
  <c r="AM24" i="83"/>
  <c r="AU24" i="83"/>
  <c r="BD24" i="83"/>
  <c r="BL24" i="83"/>
  <c r="CI24" i="83"/>
  <c r="CR24" i="83"/>
  <c r="CZ24" i="83"/>
  <c r="CJ24" i="83"/>
  <c r="CS24" i="83"/>
  <c r="AN24" i="83"/>
  <c r="AW24" i="83"/>
  <c r="BE24" i="83"/>
  <c r="BM24" i="83"/>
  <c r="CA24" i="83"/>
  <c r="DA24" i="83"/>
  <c r="AZ24" i="83"/>
  <c r="CT24" i="83"/>
  <c r="BF24" i="83"/>
  <c r="CU24" i="83"/>
  <c r="BG24" i="83"/>
  <c r="CB24" i="83"/>
  <c r="CV24" i="83"/>
  <c r="AO24" i="83"/>
  <c r="BH24" i="83"/>
  <c r="CD24" i="83"/>
  <c r="DB24" i="83"/>
  <c r="AP24" i="83"/>
  <c r="CE24" i="83"/>
  <c r="DC24" i="83"/>
  <c r="AQ24" i="83"/>
  <c r="CK24" i="83"/>
  <c r="DD24" i="83"/>
  <c r="AX24" i="83"/>
  <c r="CL24" i="83"/>
  <c r="AY24" i="83"/>
  <c r="CN24" i="83"/>
  <c r="AV24" i="83"/>
  <c r="AL24" i="83"/>
  <c r="CM24" i="83"/>
  <c r="B16" i="95"/>
  <c r="BF27" i="43"/>
  <c r="BT39" i="43"/>
  <c r="BU39" i="43" s="1"/>
  <c r="B28" i="96"/>
  <c r="B15" i="47"/>
  <c r="P26" i="43"/>
  <c r="B15" i="48"/>
  <c r="AR26" i="43"/>
  <c r="B15" i="49"/>
  <c r="AD26" i="43"/>
  <c r="X12" i="23"/>
  <c r="AD12" i="24" s="1"/>
  <c r="T12" i="23"/>
  <c r="Y12" i="24" s="1"/>
  <c r="P11" i="23"/>
  <c r="T11" i="24" s="1"/>
  <c r="DE23" i="85"/>
  <c r="L23" i="85" s="1"/>
  <c r="BN23" i="85"/>
  <c r="K23" i="85" s="1"/>
  <c r="BN24" i="91"/>
  <c r="K24" i="91" s="1"/>
  <c r="BN23" i="89"/>
  <c r="K23" i="89" s="1"/>
  <c r="AS13" i="23"/>
  <c r="Z13" i="25"/>
  <c r="A26" i="93"/>
  <c r="B25" i="93"/>
  <c r="AA12" i="25"/>
  <c r="AT12" i="23"/>
  <c r="D24" i="93"/>
  <c r="AD11" i="25"/>
  <c r="AV11" i="23"/>
  <c r="U14" i="25"/>
  <c r="AO14" i="23"/>
  <c r="AK14" i="23"/>
  <c r="P14" i="25"/>
  <c r="F13" i="25"/>
  <c r="AC13" i="23"/>
  <c r="Z14" i="24"/>
  <c r="U14" i="23"/>
  <c r="Q14" i="23"/>
  <c r="U14" i="24"/>
  <c r="P13" i="24"/>
  <c r="M13" i="23"/>
  <c r="A26" i="85"/>
  <c r="B25" i="85"/>
  <c r="Q12" i="24"/>
  <c r="N12" i="23"/>
  <c r="D24" i="85"/>
  <c r="I13" i="23"/>
  <c r="K13" i="24"/>
  <c r="E13" i="23"/>
  <c r="F13" i="24"/>
  <c r="V13" i="24"/>
  <c r="R13" i="23"/>
  <c r="L12" i="24"/>
  <c r="J12" i="23"/>
  <c r="F12" i="23"/>
  <c r="G12" i="24"/>
  <c r="Y12" i="25"/>
  <c r="AR12" i="23"/>
  <c r="V13" i="25"/>
  <c r="AP13" i="23"/>
  <c r="AF11" i="23"/>
  <c r="J11" i="25"/>
  <c r="Q13" i="25"/>
  <c r="AL13" i="23"/>
  <c r="T12" i="25"/>
  <c r="AN12" i="23"/>
  <c r="AD12" i="23"/>
  <c r="G12" i="25"/>
  <c r="V13" i="23"/>
  <c r="AA13" i="24"/>
  <c r="AH13" i="23"/>
  <c r="L13" i="25"/>
  <c r="AG14" i="23"/>
  <c r="K14" i="25"/>
  <c r="AJ12" i="23"/>
  <c r="O12" i="25"/>
  <c r="Z12" i="23"/>
  <c r="B12" i="25"/>
  <c r="E11" i="25"/>
  <c r="AB11" i="23"/>
  <c r="A13" i="25"/>
  <c r="Y13" i="23"/>
  <c r="D25" i="92"/>
  <c r="A27" i="92"/>
  <c r="B26" i="92"/>
  <c r="D25" i="91"/>
  <c r="A27" i="91"/>
  <c r="B26" i="91"/>
  <c r="D25" i="90"/>
  <c r="A27" i="90"/>
  <c r="B26" i="90"/>
  <c r="BO23" i="89"/>
  <c r="D24" i="89"/>
  <c r="B25" i="89"/>
  <c r="A26" i="89"/>
  <c r="D24" i="88"/>
  <c r="A26" i="88"/>
  <c r="B25" i="88"/>
  <c r="D25" i="87"/>
  <c r="A27" i="87"/>
  <c r="B26" i="87"/>
  <c r="D25" i="86"/>
  <c r="A27" i="86"/>
  <c r="B26" i="86"/>
  <c r="B25" i="84"/>
  <c r="A26" i="84"/>
  <c r="D24" i="84"/>
  <c r="L12" i="23" s="1"/>
  <c r="O12" i="24" s="1"/>
  <c r="D24" i="83"/>
  <c r="H12" i="23" s="1"/>
  <c r="J12" i="24" s="1"/>
  <c r="B25" i="83"/>
  <c r="A26" i="83"/>
  <c r="CX26" i="92" l="1"/>
  <c r="CP26" i="92"/>
  <c r="CH26" i="92"/>
  <c r="CW26" i="92"/>
  <c r="CO26" i="92"/>
  <c r="CG26" i="92"/>
  <c r="DD26" i="92"/>
  <c r="CV26" i="92"/>
  <c r="CN26" i="92"/>
  <c r="CF26" i="92"/>
  <c r="DC26" i="92"/>
  <c r="CU26" i="92"/>
  <c r="CM26" i="92"/>
  <c r="CE26" i="92"/>
  <c r="DB26" i="92"/>
  <c r="CT26" i="92"/>
  <c r="CL26" i="92"/>
  <c r="CD26" i="92"/>
  <c r="DA26" i="92"/>
  <c r="CS26" i="92"/>
  <c r="CK26" i="92"/>
  <c r="CC26" i="92"/>
  <c r="CZ26" i="92"/>
  <c r="CR26" i="92"/>
  <c r="CJ26" i="92"/>
  <c r="CB26" i="92"/>
  <c r="CY26" i="92"/>
  <c r="CQ26" i="92"/>
  <c r="CI26" i="92"/>
  <c r="CA26" i="92"/>
  <c r="BM26" i="92"/>
  <c r="BE26" i="92"/>
  <c r="AW26" i="92"/>
  <c r="AO26" i="92"/>
  <c r="BL26" i="92"/>
  <c r="BD26" i="92"/>
  <c r="AV26" i="92"/>
  <c r="AN26" i="92"/>
  <c r="AX26" i="92"/>
  <c r="BK26" i="92"/>
  <c r="BC26" i="92"/>
  <c r="AU26" i="92"/>
  <c r="AM26" i="92"/>
  <c r="BJ26" i="92"/>
  <c r="BB26" i="92"/>
  <c r="AT26" i="92"/>
  <c r="AL26" i="92"/>
  <c r="BI26" i="92"/>
  <c r="BA26" i="92"/>
  <c r="AS26" i="92"/>
  <c r="AK26" i="92"/>
  <c r="BH26" i="92"/>
  <c r="AZ26" i="92"/>
  <c r="AR26" i="92"/>
  <c r="AJ26" i="92"/>
  <c r="AP26" i="92"/>
  <c r="BG26" i="92"/>
  <c r="AY26" i="92"/>
  <c r="AQ26" i="92"/>
  <c r="BF26" i="92"/>
  <c r="DB25" i="93"/>
  <c r="CT25" i="93"/>
  <c r="CL25" i="93"/>
  <c r="CD25" i="93"/>
  <c r="CZ25" i="93"/>
  <c r="CQ25" i="93"/>
  <c r="CH25" i="93"/>
  <c r="CY25" i="93"/>
  <c r="CP25" i="93"/>
  <c r="CG25" i="93"/>
  <c r="CX25" i="93"/>
  <c r="CO25" i="93"/>
  <c r="CF25" i="93"/>
  <c r="CW25" i="93"/>
  <c r="CN25" i="93"/>
  <c r="CE25" i="93"/>
  <c r="CV25" i="93"/>
  <c r="CM25" i="93"/>
  <c r="CC25" i="93"/>
  <c r="DD25" i="93"/>
  <c r="CU25" i="93"/>
  <c r="CK25" i="93"/>
  <c r="CB25" i="93"/>
  <c r="DC25" i="93"/>
  <c r="CS25" i="93"/>
  <c r="CJ25" i="93"/>
  <c r="CA25" i="93"/>
  <c r="DA25" i="93"/>
  <c r="CR25" i="93"/>
  <c r="CI25" i="93"/>
  <c r="BF25" i="93"/>
  <c r="AX25" i="93"/>
  <c r="AP25" i="93"/>
  <c r="BM25" i="93"/>
  <c r="BE25" i="93"/>
  <c r="AW25" i="93"/>
  <c r="AO25" i="93"/>
  <c r="BL25" i="93"/>
  <c r="BD25" i="93"/>
  <c r="AV25" i="93"/>
  <c r="AN25" i="93"/>
  <c r="BJ25" i="93"/>
  <c r="BB25" i="93"/>
  <c r="AT25" i="93"/>
  <c r="AL25" i="93"/>
  <c r="BH25" i="93"/>
  <c r="AZ25" i="93"/>
  <c r="AR25" i="93"/>
  <c r="AJ25" i="93"/>
  <c r="BG25" i="93"/>
  <c r="AY25" i="93"/>
  <c r="AQ25" i="93"/>
  <c r="BK25" i="93"/>
  <c r="BI25" i="93"/>
  <c r="BC25" i="93"/>
  <c r="BA25" i="93"/>
  <c r="AU25" i="93"/>
  <c r="AS25" i="93"/>
  <c r="AM25" i="93"/>
  <c r="AK25" i="93"/>
  <c r="BO25" i="92"/>
  <c r="BL26" i="91"/>
  <c r="BD26" i="91"/>
  <c r="AV26" i="91"/>
  <c r="AM26" i="91"/>
  <c r="BK26" i="91"/>
  <c r="BC26" i="91"/>
  <c r="AU26" i="91"/>
  <c r="AL26" i="91"/>
  <c r="BJ26" i="91"/>
  <c r="BB26" i="91"/>
  <c r="AT26" i="91"/>
  <c r="AK26" i="91"/>
  <c r="BI26" i="91"/>
  <c r="BA26" i="91"/>
  <c r="AS26" i="91"/>
  <c r="AJ26" i="91"/>
  <c r="BH26" i="91"/>
  <c r="AZ26" i="91"/>
  <c r="AR26" i="91"/>
  <c r="BG26" i="91"/>
  <c r="AY26" i="91"/>
  <c r="AQ26" i="91"/>
  <c r="BF26" i="91"/>
  <c r="AX26" i="91"/>
  <c r="AO26" i="91"/>
  <c r="BE26" i="91"/>
  <c r="AW26" i="91"/>
  <c r="AN26" i="91"/>
  <c r="BM26" i="91"/>
  <c r="CY26" i="91"/>
  <c r="CQ26" i="91"/>
  <c r="CI26" i="91"/>
  <c r="CX26" i="91"/>
  <c r="CP26" i="91"/>
  <c r="CH26" i="91"/>
  <c r="DD26" i="91"/>
  <c r="CV26" i="91"/>
  <c r="CN26" i="91"/>
  <c r="CE26" i="91"/>
  <c r="DC26" i="91"/>
  <c r="CU26" i="91"/>
  <c r="CM26" i="91"/>
  <c r="CD26" i="91"/>
  <c r="DB26" i="91"/>
  <c r="CT26" i="91"/>
  <c r="CL26" i="91"/>
  <c r="CC26" i="91"/>
  <c r="DA26" i="91"/>
  <c r="CS26" i="91"/>
  <c r="CK26" i="91"/>
  <c r="CB26" i="91"/>
  <c r="CZ26" i="91"/>
  <c r="CW26" i="91"/>
  <c r="CR26" i="91"/>
  <c r="CO26" i="91"/>
  <c r="CJ26" i="91"/>
  <c r="CF26" i="91"/>
  <c r="CA26" i="91"/>
  <c r="CG26" i="91"/>
  <c r="AP26" i="91"/>
  <c r="CZ26" i="87"/>
  <c r="CR26" i="87"/>
  <c r="CI26" i="87"/>
  <c r="CY26" i="87"/>
  <c r="CQ26" i="87"/>
  <c r="CH26" i="87"/>
  <c r="CX26" i="87"/>
  <c r="CO26" i="87"/>
  <c r="CG26" i="87"/>
  <c r="CW26" i="87"/>
  <c r="CN26" i="87"/>
  <c r="CF26" i="87"/>
  <c r="DD26" i="87"/>
  <c r="CV26" i="87"/>
  <c r="CM26" i="87"/>
  <c r="CE26" i="87"/>
  <c r="DC26" i="87"/>
  <c r="CU26" i="87"/>
  <c r="CL26" i="87"/>
  <c r="CD26" i="87"/>
  <c r="DB26" i="87"/>
  <c r="CT26" i="87"/>
  <c r="CK26" i="87"/>
  <c r="CC26" i="87"/>
  <c r="DA26" i="87"/>
  <c r="CS26" i="87"/>
  <c r="CJ26" i="87"/>
  <c r="CB26" i="87"/>
  <c r="BJ26" i="87"/>
  <c r="BB26" i="87"/>
  <c r="AS26" i="87"/>
  <c r="AK26" i="87"/>
  <c r="BI26" i="87"/>
  <c r="BA26" i="87"/>
  <c r="BH26" i="87"/>
  <c r="AZ26" i="87"/>
  <c r="BF26" i="87"/>
  <c r="AT26" i="87"/>
  <c r="BE26" i="87"/>
  <c r="AR26" i="87"/>
  <c r="BD26" i="87"/>
  <c r="AQ26" i="87"/>
  <c r="BC26" i="87"/>
  <c r="AP26" i="87"/>
  <c r="BM26" i="87"/>
  <c r="AX26" i="87"/>
  <c r="AO26" i="87"/>
  <c r="BL26" i="87"/>
  <c r="AW26" i="87"/>
  <c r="AN26" i="87"/>
  <c r="BK26" i="87"/>
  <c r="AV26" i="87"/>
  <c r="AM26" i="87"/>
  <c r="BG26" i="87"/>
  <c r="AU26" i="87"/>
  <c r="AL26" i="87"/>
  <c r="AY26" i="87"/>
  <c r="AJ26" i="87"/>
  <c r="CP26" i="87"/>
  <c r="CZ25" i="89"/>
  <c r="CR25" i="89"/>
  <c r="CJ25" i="89"/>
  <c r="CA25" i="89"/>
  <c r="CY25" i="89"/>
  <c r="CQ25" i="89"/>
  <c r="CI25" i="89"/>
  <c r="CX25" i="89"/>
  <c r="CP25" i="89"/>
  <c r="CH25" i="89"/>
  <c r="CW25" i="89"/>
  <c r="CO25" i="89"/>
  <c r="CG25" i="89"/>
  <c r="DC25" i="89"/>
  <c r="CU25" i="89"/>
  <c r="CM25" i="89"/>
  <c r="CE25" i="89"/>
  <c r="DB25" i="89"/>
  <c r="CT25" i="89"/>
  <c r="CL25" i="89"/>
  <c r="CD25" i="89"/>
  <c r="DA25" i="89"/>
  <c r="CS25" i="89"/>
  <c r="CK25" i="89"/>
  <c r="CB25" i="89"/>
  <c r="CV25" i="89"/>
  <c r="CN25" i="89"/>
  <c r="CF25" i="89"/>
  <c r="DD25" i="89"/>
  <c r="BJ25" i="89"/>
  <c r="BB25" i="89"/>
  <c r="AT25" i="89"/>
  <c r="AK25" i="89"/>
  <c r="BI25" i="89"/>
  <c r="BA25" i="89"/>
  <c r="AS25" i="89"/>
  <c r="AJ25" i="89"/>
  <c r="BH25" i="89"/>
  <c r="AZ25" i="89"/>
  <c r="AR25" i="89"/>
  <c r="BG25" i="89"/>
  <c r="AY25" i="89"/>
  <c r="AQ25" i="89"/>
  <c r="BF25" i="89"/>
  <c r="AX25" i="89"/>
  <c r="AP25" i="89"/>
  <c r="BM25" i="89"/>
  <c r="BE25" i="89"/>
  <c r="AW25" i="89"/>
  <c r="AO25" i="89"/>
  <c r="BL25" i="89"/>
  <c r="BD25" i="89"/>
  <c r="AV25" i="89"/>
  <c r="AN25" i="89"/>
  <c r="AU25" i="89"/>
  <c r="AM25" i="89"/>
  <c r="BK25" i="89"/>
  <c r="BC25" i="89"/>
  <c r="AL25" i="89"/>
  <c r="CX26" i="90"/>
  <c r="CP26" i="90"/>
  <c r="CH26" i="90"/>
  <c r="CW26" i="90"/>
  <c r="CO26" i="90"/>
  <c r="CG26" i="90"/>
  <c r="DD26" i="90"/>
  <c r="CV26" i="90"/>
  <c r="CN26" i="90"/>
  <c r="CF26" i="90"/>
  <c r="DC26" i="90"/>
  <c r="CU26" i="90"/>
  <c r="CM26" i="90"/>
  <c r="CE26" i="90"/>
  <c r="CY26" i="90"/>
  <c r="CI26" i="90"/>
  <c r="CT26" i="90"/>
  <c r="CD26" i="90"/>
  <c r="CS26" i="90"/>
  <c r="CC26" i="90"/>
  <c r="CR26" i="90"/>
  <c r="CB26" i="90"/>
  <c r="CQ26" i="90"/>
  <c r="CA26" i="90"/>
  <c r="DB26" i="90"/>
  <c r="CL26" i="90"/>
  <c r="DA26" i="90"/>
  <c r="CK26" i="90"/>
  <c r="CZ26" i="90"/>
  <c r="CJ26" i="90"/>
  <c r="BI26" i="90"/>
  <c r="BA26" i="90"/>
  <c r="AS26" i="90"/>
  <c r="AK26" i="90"/>
  <c r="BH26" i="90"/>
  <c r="AZ26" i="90"/>
  <c r="AR26" i="90"/>
  <c r="AJ26" i="90"/>
  <c r="AL26" i="90"/>
  <c r="BG26" i="90"/>
  <c r="AY26" i="90"/>
  <c r="AQ26" i="90"/>
  <c r="AT26" i="90"/>
  <c r="BF26" i="90"/>
  <c r="AX26" i="90"/>
  <c r="AP26" i="90"/>
  <c r="BM26" i="90"/>
  <c r="BE26" i="90"/>
  <c r="AW26" i="90"/>
  <c r="AO26" i="90"/>
  <c r="BB26" i="90"/>
  <c r="BL26" i="90"/>
  <c r="BD26" i="90"/>
  <c r="AV26" i="90"/>
  <c r="AN26" i="90"/>
  <c r="BK26" i="90"/>
  <c r="BC26" i="90"/>
  <c r="AU26" i="90"/>
  <c r="AM26" i="90"/>
  <c r="BJ26" i="90"/>
  <c r="CF25" i="88"/>
  <c r="CN25" i="88"/>
  <c r="CV25" i="88"/>
  <c r="DD25" i="88"/>
  <c r="CG25" i="88"/>
  <c r="CO25" i="88"/>
  <c r="CW25" i="88"/>
  <c r="CH25" i="88"/>
  <c r="CP25" i="88"/>
  <c r="CX25" i="88"/>
  <c r="CA25" i="88"/>
  <c r="CI25" i="88"/>
  <c r="CQ25" i="88"/>
  <c r="CY25" i="88"/>
  <c r="CB25" i="88"/>
  <c r="CJ25" i="88"/>
  <c r="CR25" i="88"/>
  <c r="CZ25" i="88"/>
  <c r="CC25" i="88"/>
  <c r="CK25" i="88"/>
  <c r="CS25" i="88"/>
  <c r="DA25" i="88"/>
  <c r="CD25" i="88"/>
  <c r="CL25" i="88"/>
  <c r="CT25" i="88"/>
  <c r="DB25" i="88"/>
  <c r="CE25" i="88"/>
  <c r="CM25" i="88"/>
  <c r="CU25" i="88"/>
  <c r="DC25" i="88"/>
  <c r="AN25" i="88"/>
  <c r="AV25" i="88"/>
  <c r="BD25" i="88"/>
  <c r="BL25" i="88"/>
  <c r="AO25" i="88"/>
  <c r="AW25" i="88"/>
  <c r="BE25" i="88"/>
  <c r="BM25" i="88"/>
  <c r="AP25" i="88"/>
  <c r="AX25" i="88"/>
  <c r="BF25" i="88"/>
  <c r="AQ25" i="88"/>
  <c r="AY25" i="88"/>
  <c r="BG25" i="88"/>
  <c r="AJ25" i="88"/>
  <c r="AR25" i="88"/>
  <c r="AZ25" i="88"/>
  <c r="BH25" i="88"/>
  <c r="AK25" i="88"/>
  <c r="AS25" i="88"/>
  <c r="BA25" i="88"/>
  <c r="BI25" i="88"/>
  <c r="AL25" i="88"/>
  <c r="AT25" i="88"/>
  <c r="BB25" i="88"/>
  <c r="BJ25" i="88"/>
  <c r="AM25" i="88"/>
  <c r="AU25" i="88"/>
  <c r="BK25" i="88"/>
  <c r="BC25" i="88"/>
  <c r="BN25" i="92"/>
  <c r="CX25" i="84"/>
  <c r="CP25" i="84"/>
  <c r="CH25" i="84"/>
  <c r="DC25" i="84"/>
  <c r="CT25" i="84"/>
  <c r="CK25" i="84"/>
  <c r="CB25" i="84"/>
  <c r="DA25" i="84"/>
  <c r="CR25" i="84"/>
  <c r="CI25" i="84"/>
  <c r="DB25" i="84"/>
  <c r="CO25" i="84"/>
  <c r="CD25" i="84"/>
  <c r="CZ25" i="84"/>
  <c r="CN25" i="84"/>
  <c r="CC25" i="84"/>
  <c r="CY25" i="84"/>
  <c r="CM25" i="84"/>
  <c r="CA25" i="84"/>
  <c r="CW25" i="84"/>
  <c r="CL25" i="84"/>
  <c r="CV25" i="84"/>
  <c r="CJ25" i="84"/>
  <c r="CE25" i="84"/>
  <c r="DD25" i="84"/>
  <c r="CU25" i="84"/>
  <c r="CS25" i="84"/>
  <c r="CQ25" i="84"/>
  <c r="CG25" i="84"/>
  <c r="CF25" i="84"/>
  <c r="BF25" i="84"/>
  <c r="AX25" i="84"/>
  <c r="AP25" i="84"/>
  <c r="BM25" i="84"/>
  <c r="BE25" i="84"/>
  <c r="AW25" i="84"/>
  <c r="AO25" i="84"/>
  <c r="BL25" i="84"/>
  <c r="BD25" i="84"/>
  <c r="AV25" i="84"/>
  <c r="AN25" i="84"/>
  <c r="BK25" i="84"/>
  <c r="BC25" i="84"/>
  <c r="AU25" i="84"/>
  <c r="AM25" i="84"/>
  <c r="BJ25" i="84"/>
  <c r="BB25" i="84"/>
  <c r="AT25" i="84"/>
  <c r="AL25" i="84"/>
  <c r="BI25" i="84"/>
  <c r="BA25" i="84"/>
  <c r="AS25" i="84"/>
  <c r="AK25" i="84"/>
  <c r="BH25" i="84"/>
  <c r="AZ25" i="84"/>
  <c r="AR25" i="84"/>
  <c r="AJ25" i="84"/>
  <c r="BG25" i="84"/>
  <c r="AY25" i="84"/>
  <c r="AQ25" i="84"/>
  <c r="CW26" i="86"/>
  <c r="CO26" i="86"/>
  <c r="CG26" i="86"/>
  <c r="DD26" i="86"/>
  <c r="CV26" i="86"/>
  <c r="CN26" i="86"/>
  <c r="CF26" i="86"/>
  <c r="DB26" i="86"/>
  <c r="CR26" i="86"/>
  <c r="CH26" i="86"/>
  <c r="DA26" i="86"/>
  <c r="CQ26" i="86"/>
  <c r="CE26" i="86"/>
  <c r="CZ26" i="86"/>
  <c r="CP26" i="86"/>
  <c r="CD26" i="86"/>
  <c r="CY26" i="86"/>
  <c r="CM26" i="86"/>
  <c r="CC26" i="86"/>
  <c r="CX26" i="86"/>
  <c r="CL26" i="86"/>
  <c r="CB26" i="86"/>
  <c r="CU26" i="86"/>
  <c r="CK26" i="86"/>
  <c r="CA26" i="86"/>
  <c r="DC26" i="86"/>
  <c r="CT26" i="86"/>
  <c r="CS26" i="86"/>
  <c r="CJ26" i="86"/>
  <c r="CI26" i="86"/>
  <c r="BK26" i="86"/>
  <c r="BC26" i="86"/>
  <c r="AU26" i="86"/>
  <c r="AM26" i="86"/>
  <c r="BJ26" i="86"/>
  <c r="BA26" i="86"/>
  <c r="AR26" i="86"/>
  <c r="BI26" i="86"/>
  <c r="AZ26" i="86"/>
  <c r="AQ26" i="86"/>
  <c r="BH26" i="86"/>
  <c r="AY26" i="86"/>
  <c r="AP26" i="86"/>
  <c r="BG26" i="86"/>
  <c r="AX26" i="86"/>
  <c r="AO26" i="86"/>
  <c r="BF26" i="86"/>
  <c r="AW26" i="86"/>
  <c r="AN26" i="86"/>
  <c r="BE26" i="86"/>
  <c r="AV26" i="86"/>
  <c r="AL26" i="86"/>
  <c r="BM26" i="86"/>
  <c r="BD26" i="86"/>
  <c r="AT26" i="86"/>
  <c r="AK26" i="86"/>
  <c r="BL26" i="86"/>
  <c r="BB26" i="86"/>
  <c r="AS26" i="86"/>
  <c r="AJ26" i="86"/>
  <c r="AN25" i="83"/>
  <c r="AV25" i="83"/>
  <c r="BE25" i="83"/>
  <c r="BM25" i="83"/>
  <c r="CA25" i="83"/>
  <c r="CJ25" i="83"/>
  <c r="CS25" i="83"/>
  <c r="DA25" i="83"/>
  <c r="CL25" i="83"/>
  <c r="AO25" i="83"/>
  <c r="AX25" i="83"/>
  <c r="BF25" i="83"/>
  <c r="CB25" i="83"/>
  <c r="CK25" i="83"/>
  <c r="CT25" i="83"/>
  <c r="DB25" i="83"/>
  <c r="CC25" i="83"/>
  <c r="CU25" i="83"/>
  <c r="AP25" i="83"/>
  <c r="AY25" i="83"/>
  <c r="BG25" i="83"/>
  <c r="DC25" i="83"/>
  <c r="AQ25" i="83"/>
  <c r="AZ25" i="83"/>
  <c r="BH25" i="83"/>
  <c r="CE25" i="83"/>
  <c r="CM25" i="83"/>
  <c r="CV25" i="83"/>
  <c r="DD25" i="83"/>
  <c r="CF25" i="83"/>
  <c r="CW25" i="83"/>
  <c r="AR25" i="83"/>
  <c r="BA25" i="83"/>
  <c r="BI25" i="83"/>
  <c r="CO25" i="83"/>
  <c r="AT25" i="83"/>
  <c r="CI25" i="83"/>
  <c r="AU25" i="83"/>
  <c r="CP25" i="83"/>
  <c r="BB25" i="83"/>
  <c r="CQ25" i="83"/>
  <c r="BC25" i="83"/>
  <c r="CR25" i="83"/>
  <c r="AJ25" i="83"/>
  <c r="BD25" i="83"/>
  <c r="CX25" i="83"/>
  <c r="AK25" i="83"/>
  <c r="BJ25" i="83"/>
  <c r="CY25" i="83"/>
  <c r="AL25" i="83"/>
  <c r="BK25" i="83"/>
  <c r="CG25" i="83"/>
  <c r="CZ25" i="83"/>
  <c r="AS25" i="83"/>
  <c r="BL25" i="83"/>
  <c r="CH25" i="83"/>
  <c r="CN25" i="83"/>
  <c r="CD25" i="83"/>
  <c r="AW25" i="83"/>
  <c r="AM25" i="83"/>
  <c r="CY25" i="85"/>
  <c r="CQ25" i="85"/>
  <c r="CI25" i="85"/>
  <c r="CX25" i="85"/>
  <c r="CP25" i="85"/>
  <c r="CH25" i="85"/>
  <c r="CU25" i="85"/>
  <c r="CK25" i="85"/>
  <c r="DD25" i="85"/>
  <c r="CT25" i="85"/>
  <c r="CJ25" i="85"/>
  <c r="DC25" i="85"/>
  <c r="CS25" i="85"/>
  <c r="CG25" i="85"/>
  <c r="DB25" i="85"/>
  <c r="CR25" i="85"/>
  <c r="CF25" i="85"/>
  <c r="DA25" i="85"/>
  <c r="CO25" i="85"/>
  <c r="CE25" i="85"/>
  <c r="CZ25" i="85"/>
  <c r="CN25" i="85"/>
  <c r="CD25" i="85"/>
  <c r="CW25" i="85"/>
  <c r="CM25" i="85"/>
  <c r="CC25" i="85"/>
  <c r="CV25" i="85"/>
  <c r="CL25" i="85"/>
  <c r="CA25" i="85"/>
  <c r="BJ25" i="85"/>
  <c r="BB25" i="85"/>
  <c r="AT25" i="85"/>
  <c r="AL25" i="85"/>
  <c r="BI25" i="85"/>
  <c r="BA25" i="85"/>
  <c r="AS25" i="85"/>
  <c r="AJ25" i="85"/>
  <c r="BH25" i="85"/>
  <c r="AZ25" i="85"/>
  <c r="AR25" i="85"/>
  <c r="BG25" i="85"/>
  <c r="AY25" i="85"/>
  <c r="AQ25" i="85"/>
  <c r="BF25" i="85"/>
  <c r="AX25" i="85"/>
  <c r="AP25" i="85"/>
  <c r="BM25" i="85"/>
  <c r="BE25" i="85"/>
  <c r="AW25" i="85"/>
  <c r="AO25" i="85"/>
  <c r="BL25" i="85"/>
  <c r="BD25" i="85"/>
  <c r="AV25" i="85"/>
  <c r="AN25" i="85"/>
  <c r="BK25" i="85"/>
  <c r="BC25" i="85"/>
  <c r="AU25" i="85"/>
  <c r="AM25" i="85"/>
  <c r="A17" i="95"/>
  <c r="BG27" i="43"/>
  <c r="BT40" i="43"/>
  <c r="BU40" i="43" s="1"/>
  <c r="B29" i="96"/>
  <c r="Q26" i="43"/>
  <c r="A16" i="47"/>
  <c r="A16" i="48"/>
  <c r="AS26" i="43"/>
  <c r="A16" i="49"/>
  <c r="AE26" i="43"/>
  <c r="BN24" i="93"/>
  <c r="X13" i="23"/>
  <c r="AD13" i="24" s="1"/>
  <c r="DE25" i="87"/>
  <c r="L25" i="87" s="1"/>
  <c r="T13" i="23"/>
  <c r="Y13" i="24" s="1"/>
  <c r="P12" i="23"/>
  <c r="T12" i="24" s="1"/>
  <c r="BN25" i="91"/>
  <c r="K25" i="91" s="1"/>
  <c r="BN25" i="87"/>
  <c r="K25" i="87" s="1"/>
  <c r="AD12" i="25"/>
  <c r="AV12" i="23"/>
  <c r="D25" i="93"/>
  <c r="AT13" i="23"/>
  <c r="AA13" i="25"/>
  <c r="Z14" i="25"/>
  <c r="AS14" i="23"/>
  <c r="B26" i="93"/>
  <c r="A27" i="93"/>
  <c r="AO15" i="23"/>
  <c r="U15" i="25"/>
  <c r="AK15" i="23"/>
  <c r="P15" i="25"/>
  <c r="F14" i="25"/>
  <c r="AC14" i="23"/>
  <c r="U15" i="23"/>
  <c r="Z15" i="24"/>
  <c r="Q15" i="23"/>
  <c r="U15" i="24"/>
  <c r="D25" i="85"/>
  <c r="N13" i="23"/>
  <c r="Q13" i="24"/>
  <c r="P14" i="24"/>
  <c r="M14" i="23"/>
  <c r="B26" i="85"/>
  <c r="A27" i="85"/>
  <c r="I14" i="23"/>
  <c r="K14" i="24"/>
  <c r="F14" i="24"/>
  <c r="E14" i="23"/>
  <c r="V14" i="24"/>
  <c r="R14" i="23"/>
  <c r="J13" i="23"/>
  <c r="L13" i="24"/>
  <c r="G13" i="24"/>
  <c r="F13" i="23"/>
  <c r="Y13" i="25"/>
  <c r="AR13" i="23"/>
  <c r="G13" i="25"/>
  <c r="AD13" i="23"/>
  <c r="Q14" i="25"/>
  <c r="AL14" i="23"/>
  <c r="AA14" i="24"/>
  <c r="V14" i="23"/>
  <c r="AN13" i="23"/>
  <c r="T13" i="25"/>
  <c r="AF12" i="23"/>
  <c r="J12" i="25"/>
  <c r="AP14" i="23"/>
  <c r="V14" i="25"/>
  <c r="AH14" i="23"/>
  <c r="L14" i="25"/>
  <c r="K15" i="25"/>
  <c r="AG15" i="23"/>
  <c r="AJ13" i="23"/>
  <c r="O13" i="25"/>
  <c r="B13" i="25"/>
  <c r="Z13" i="23"/>
  <c r="Y14" i="23"/>
  <c r="A14" i="25"/>
  <c r="AB12" i="23"/>
  <c r="E12" i="25"/>
  <c r="D26" i="92"/>
  <c r="A28" i="92"/>
  <c r="B27" i="92"/>
  <c r="D26" i="91"/>
  <c r="A28" i="91"/>
  <c r="B27" i="91"/>
  <c r="BO25" i="91"/>
  <c r="D26" i="90"/>
  <c r="A28" i="90"/>
  <c r="B27" i="90"/>
  <c r="B26" i="89"/>
  <c r="A27" i="89"/>
  <c r="D25" i="89"/>
  <c r="A27" i="88"/>
  <c r="B26" i="88"/>
  <c r="D25" i="88"/>
  <c r="D26" i="87"/>
  <c r="A28" i="87"/>
  <c r="B27" i="87"/>
  <c r="D26" i="86"/>
  <c r="B27" i="86"/>
  <c r="A28" i="86"/>
  <c r="A27" i="84"/>
  <c r="B26" i="84"/>
  <c r="D25" i="84"/>
  <c r="L13" i="23" s="1"/>
  <c r="O13" i="24" s="1"/>
  <c r="A27" i="83"/>
  <c r="B26" i="83"/>
  <c r="D25" i="83"/>
  <c r="H13" i="23" s="1"/>
  <c r="J13" i="24" s="1"/>
  <c r="DD26" i="93" l="1"/>
  <c r="CV26" i="93"/>
  <c r="CN26" i="93"/>
  <c r="CF26" i="93"/>
  <c r="CX26" i="93"/>
  <c r="CO26" i="93"/>
  <c r="CE26" i="93"/>
  <c r="CW26" i="93"/>
  <c r="CM26" i="93"/>
  <c r="CD26" i="93"/>
  <c r="CU26" i="93"/>
  <c r="CL26" i="93"/>
  <c r="CC26" i="93"/>
  <c r="DC26" i="93"/>
  <c r="CT26" i="93"/>
  <c r="CK26" i="93"/>
  <c r="CB26" i="93"/>
  <c r="DB26" i="93"/>
  <c r="CS26" i="93"/>
  <c r="CJ26" i="93"/>
  <c r="CA26" i="93"/>
  <c r="DA26" i="93"/>
  <c r="CR26" i="93"/>
  <c r="CI26" i="93"/>
  <c r="CZ26" i="93"/>
  <c r="CQ26" i="93"/>
  <c r="CH26" i="93"/>
  <c r="CY26" i="93"/>
  <c r="CP26" i="93"/>
  <c r="CG26" i="93"/>
  <c r="BH26" i="93"/>
  <c r="AZ26" i="93"/>
  <c r="AR26" i="93"/>
  <c r="AJ26" i="93"/>
  <c r="BG26" i="93"/>
  <c r="AY26" i="93"/>
  <c r="AQ26" i="93"/>
  <c r="BF26" i="93"/>
  <c r="AX26" i="93"/>
  <c r="AP26" i="93"/>
  <c r="BL26" i="93"/>
  <c r="BD26" i="93"/>
  <c r="AV26" i="93"/>
  <c r="AN26" i="93"/>
  <c r="BJ26" i="93"/>
  <c r="BB26" i="93"/>
  <c r="AT26" i="93"/>
  <c r="AL26" i="93"/>
  <c r="BI26" i="93"/>
  <c r="BA26" i="93"/>
  <c r="AS26" i="93"/>
  <c r="AK26" i="93"/>
  <c r="BM26" i="93"/>
  <c r="BK26" i="93"/>
  <c r="BE26" i="93"/>
  <c r="BC26" i="93"/>
  <c r="AW26" i="93"/>
  <c r="AU26" i="93"/>
  <c r="AO26" i="93"/>
  <c r="AM26" i="93"/>
  <c r="DA27" i="90"/>
  <c r="CS27" i="90"/>
  <c r="CK27" i="90"/>
  <c r="CB27" i="90"/>
  <c r="CZ27" i="90"/>
  <c r="CR27" i="90"/>
  <c r="CJ27" i="90"/>
  <c r="CA27" i="90"/>
  <c r="CY27" i="90"/>
  <c r="CQ27" i="90"/>
  <c r="CI27" i="90"/>
  <c r="CX27" i="90"/>
  <c r="CP27" i="90"/>
  <c r="CH27" i="90"/>
  <c r="DB27" i="90"/>
  <c r="CL27" i="90"/>
  <c r="CW27" i="90"/>
  <c r="CG27" i="90"/>
  <c r="CV27" i="90"/>
  <c r="CE27" i="90"/>
  <c r="CU27" i="90"/>
  <c r="CD27" i="90"/>
  <c r="CT27" i="90"/>
  <c r="CC27" i="90"/>
  <c r="CO27" i="90"/>
  <c r="DD27" i="90"/>
  <c r="CN27" i="90"/>
  <c r="DC27" i="90"/>
  <c r="CM27" i="90"/>
  <c r="BL27" i="90"/>
  <c r="BD27" i="90"/>
  <c r="AV27" i="90"/>
  <c r="AM27" i="90"/>
  <c r="AN27" i="90"/>
  <c r="BK27" i="90"/>
  <c r="BC27" i="90"/>
  <c r="AU27" i="90"/>
  <c r="AL27" i="90"/>
  <c r="AW27" i="90"/>
  <c r="BJ27" i="90"/>
  <c r="BB27" i="90"/>
  <c r="AT27" i="90"/>
  <c r="AK27" i="90"/>
  <c r="BI27" i="90"/>
  <c r="BA27" i="90"/>
  <c r="AS27" i="90"/>
  <c r="AJ27" i="90"/>
  <c r="BM27" i="90"/>
  <c r="BH27" i="90"/>
  <c r="AZ27" i="90"/>
  <c r="AR27" i="90"/>
  <c r="BG27" i="90"/>
  <c r="AY27" i="90"/>
  <c r="AQ27" i="90"/>
  <c r="BF27" i="90"/>
  <c r="AX27" i="90"/>
  <c r="AP27" i="90"/>
  <c r="BE27" i="90"/>
  <c r="CF27" i="90"/>
  <c r="AO27" i="90"/>
  <c r="CH26" i="88"/>
  <c r="CP26" i="88"/>
  <c r="CX26" i="88"/>
  <c r="CA26" i="88"/>
  <c r="CI26" i="88"/>
  <c r="CQ26" i="88"/>
  <c r="CY26" i="88"/>
  <c r="CB26" i="88"/>
  <c r="CJ26" i="88"/>
  <c r="CR26" i="88"/>
  <c r="CZ26" i="88"/>
  <c r="CC26" i="88"/>
  <c r="CK26" i="88"/>
  <c r="CS26" i="88"/>
  <c r="DA26" i="88"/>
  <c r="CD26" i="88"/>
  <c r="CL26" i="88"/>
  <c r="CT26" i="88"/>
  <c r="DB26" i="88"/>
  <c r="CE26" i="88"/>
  <c r="CM26" i="88"/>
  <c r="CU26" i="88"/>
  <c r="DC26" i="88"/>
  <c r="CF26" i="88"/>
  <c r="CN26" i="88"/>
  <c r="CV26" i="88"/>
  <c r="DD26" i="88"/>
  <c r="CG26" i="88"/>
  <c r="CO26" i="88"/>
  <c r="CW26" i="88"/>
  <c r="AP26" i="88"/>
  <c r="AX26" i="88"/>
  <c r="BF26" i="88"/>
  <c r="AQ26" i="88"/>
  <c r="AY26" i="88"/>
  <c r="BG26" i="88"/>
  <c r="AJ26" i="88"/>
  <c r="AR26" i="88"/>
  <c r="AZ26" i="88"/>
  <c r="BH26" i="88"/>
  <c r="AK26" i="88"/>
  <c r="AS26" i="88"/>
  <c r="BA26" i="88"/>
  <c r="BI26" i="88"/>
  <c r="AL26" i="88"/>
  <c r="AT26" i="88"/>
  <c r="BB26" i="88"/>
  <c r="BJ26" i="88"/>
  <c r="AM26" i="88"/>
  <c r="AU26" i="88"/>
  <c r="BC26" i="88"/>
  <c r="BK26" i="88"/>
  <c r="AN26" i="88"/>
  <c r="AV26" i="88"/>
  <c r="BD26" i="88"/>
  <c r="BL26" i="88"/>
  <c r="BM26" i="88"/>
  <c r="AW26" i="88"/>
  <c r="BE26" i="88"/>
  <c r="AO26" i="88"/>
  <c r="BG27" i="91"/>
  <c r="AY27" i="91"/>
  <c r="AP27" i="91"/>
  <c r="BF27" i="91"/>
  <c r="AX27" i="91"/>
  <c r="AO27" i="91"/>
  <c r="BM27" i="91"/>
  <c r="BE27" i="91"/>
  <c r="AW27" i="91"/>
  <c r="AN27" i="91"/>
  <c r="BL27" i="91"/>
  <c r="BD27" i="91"/>
  <c r="AV27" i="91"/>
  <c r="AM27" i="91"/>
  <c r="BK27" i="91"/>
  <c r="BC27" i="91"/>
  <c r="AU27" i="91"/>
  <c r="AL27" i="91"/>
  <c r="BJ27" i="91"/>
  <c r="BB27" i="91"/>
  <c r="AT27" i="91"/>
  <c r="AK27" i="91"/>
  <c r="BI27" i="91"/>
  <c r="BA27" i="91"/>
  <c r="AS27" i="91"/>
  <c r="AJ27" i="91"/>
  <c r="BH27" i="91"/>
  <c r="AZ27" i="91"/>
  <c r="AR27" i="91"/>
  <c r="DB27" i="91"/>
  <c r="CT27" i="91"/>
  <c r="CL27" i="91"/>
  <c r="CC27" i="91"/>
  <c r="DA27" i="91"/>
  <c r="CS27" i="91"/>
  <c r="CK27" i="91"/>
  <c r="CB27" i="91"/>
  <c r="CY27" i="91"/>
  <c r="CQ27" i="91"/>
  <c r="CI27" i="91"/>
  <c r="CX27" i="91"/>
  <c r="CP27" i="91"/>
  <c r="CG27" i="91"/>
  <c r="CW27" i="91"/>
  <c r="CO27" i="91"/>
  <c r="CF27" i="91"/>
  <c r="DD27" i="91"/>
  <c r="CV27" i="91"/>
  <c r="CN27" i="91"/>
  <c r="CE27" i="91"/>
  <c r="CA27" i="91"/>
  <c r="DC27" i="91"/>
  <c r="CZ27" i="91"/>
  <c r="CU27" i="91"/>
  <c r="CR27" i="91"/>
  <c r="CM27" i="91"/>
  <c r="CJ27" i="91"/>
  <c r="CD27" i="91"/>
  <c r="AQ27" i="91"/>
  <c r="CH27" i="91"/>
  <c r="DC27" i="87"/>
  <c r="CU27" i="87"/>
  <c r="CL27" i="87"/>
  <c r="CD27" i="87"/>
  <c r="DB27" i="87"/>
  <c r="CT27" i="87"/>
  <c r="CK27" i="87"/>
  <c r="CC27" i="87"/>
  <c r="DA27" i="87"/>
  <c r="CS27" i="87"/>
  <c r="CJ27" i="87"/>
  <c r="CZ27" i="87"/>
  <c r="CR27" i="87"/>
  <c r="CI27" i="87"/>
  <c r="CA27" i="87"/>
  <c r="CY27" i="87"/>
  <c r="CP27" i="87"/>
  <c r="CH27" i="87"/>
  <c r="CX27" i="87"/>
  <c r="CO27" i="87"/>
  <c r="CG27" i="87"/>
  <c r="CW27" i="87"/>
  <c r="CN27" i="87"/>
  <c r="CF27" i="87"/>
  <c r="DD27" i="87"/>
  <c r="CV27" i="87"/>
  <c r="CM27" i="87"/>
  <c r="CE27" i="87"/>
  <c r="BM27" i="87"/>
  <c r="BE27" i="87"/>
  <c r="AV27" i="87"/>
  <c r="AN27" i="87"/>
  <c r="BL27" i="87"/>
  <c r="BD27" i="87"/>
  <c r="AU27" i="87"/>
  <c r="AM27" i="87"/>
  <c r="BK27" i="87"/>
  <c r="BC27" i="87"/>
  <c r="AT27" i="87"/>
  <c r="AL27" i="87"/>
  <c r="BJ27" i="87"/>
  <c r="BB27" i="87"/>
  <c r="AS27" i="87"/>
  <c r="BG27" i="87"/>
  <c r="AP27" i="87"/>
  <c r="BF27" i="87"/>
  <c r="AO27" i="87"/>
  <c r="BA27" i="87"/>
  <c r="AY27" i="87"/>
  <c r="AJ27" i="87"/>
  <c r="AX27" i="87"/>
  <c r="AW27" i="87"/>
  <c r="BI27" i="87"/>
  <c r="AR27" i="87"/>
  <c r="BH27" i="87"/>
  <c r="AQ27" i="87"/>
  <c r="CQ27" i="87"/>
  <c r="AZ27" i="87"/>
  <c r="DC26" i="89"/>
  <c r="CU26" i="89"/>
  <c r="CM26" i="89"/>
  <c r="CE26" i="89"/>
  <c r="DB26" i="89"/>
  <c r="CT26" i="89"/>
  <c r="CL26" i="89"/>
  <c r="CC26" i="89"/>
  <c r="DA26" i="89"/>
  <c r="CS26" i="89"/>
  <c r="CK26" i="89"/>
  <c r="CB26" i="89"/>
  <c r="CZ26" i="89"/>
  <c r="CR26" i="89"/>
  <c r="CJ26" i="89"/>
  <c r="CA26" i="89"/>
  <c r="CX26" i="89"/>
  <c r="CP26" i="89"/>
  <c r="CH26" i="89"/>
  <c r="CW26" i="89"/>
  <c r="CO26" i="89"/>
  <c r="CG26" i="89"/>
  <c r="DD26" i="89"/>
  <c r="CV26" i="89"/>
  <c r="CN26" i="89"/>
  <c r="CF26" i="89"/>
  <c r="CY26" i="89"/>
  <c r="CQ26" i="89"/>
  <c r="CI26" i="89"/>
  <c r="BM26" i="89"/>
  <c r="BE26" i="89"/>
  <c r="AW26" i="89"/>
  <c r="AO26" i="89"/>
  <c r="BL26" i="89"/>
  <c r="BD26" i="89"/>
  <c r="AV26" i="89"/>
  <c r="AN26" i="89"/>
  <c r="BK26" i="89"/>
  <c r="BC26" i="89"/>
  <c r="AU26" i="89"/>
  <c r="AL26" i="89"/>
  <c r="BJ26" i="89"/>
  <c r="BB26" i="89"/>
  <c r="AT26" i="89"/>
  <c r="AK26" i="89"/>
  <c r="BI26" i="89"/>
  <c r="BA26" i="89"/>
  <c r="AS26" i="89"/>
  <c r="AJ26" i="89"/>
  <c r="BH26" i="89"/>
  <c r="AZ26" i="89"/>
  <c r="AR26" i="89"/>
  <c r="BG26" i="89"/>
  <c r="AY26" i="89"/>
  <c r="AQ26" i="89"/>
  <c r="BF26" i="89"/>
  <c r="AX26" i="89"/>
  <c r="AP26" i="89"/>
  <c r="CD26" i="89"/>
  <c r="AM26" i="89"/>
  <c r="CZ27" i="92"/>
  <c r="CR27" i="92"/>
  <c r="CJ27" i="92"/>
  <c r="CB27" i="92"/>
  <c r="CY27" i="92"/>
  <c r="CQ27" i="92"/>
  <c r="CI27" i="92"/>
  <c r="CA27" i="92"/>
  <c r="CX27" i="92"/>
  <c r="CP27" i="92"/>
  <c r="CH27" i="92"/>
  <c r="CW27" i="92"/>
  <c r="CO27" i="92"/>
  <c r="CG27" i="92"/>
  <c r="DD27" i="92"/>
  <c r="CV27" i="92"/>
  <c r="CN27" i="92"/>
  <c r="CF27" i="92"/>
  <c r="DC27" i="92"/>
  <c r="CU27" i="92"/>
  <c r="CM27" i="92"/>
  <c r="CE27" i="92"/>
  <c r="DB27" i="92"/>
  <c r="CT27" i="92"/>
  <c r="CL27" i="92"/>
  <c r="CD27" i="92"/>
  <c r="DA27" i="92"/>
  <c r="CS27" i="92"/>
  <c r="CK27" i="92"/>
  <c r="CC27" i="92"/>
  <c r="BG27" i="92"/>
  <c r="AY27" i="92"/>
  <c r="AQ27" i="92"/>
  <c r="AZ27" i="92"/>
  <c r="BF27" i="92"/>
  <c r="AX27" i="92"/>
  <c r="AP27" i="92"/>
  <c r="BM27" i="92"/>
  <c r="BE27" i="92"/>
  <c r="AW27" i="92"/>
  <c r="AO27" i="92"/>
  <c r="BL27" i="92"/>
  <c r="BD27" i="92"/>
  <c r="AV27" i="92"/>
  <c r="AN27" i="92"/>
  <c r="BH27" i="92"/>
  <c r="BK27" i="92"/>
  <c r="BC27" i="92"/>
  <c r="AU27" i="92"/>
  <c r="AM27" i="92"/>
  <c r="AR27" i="92"/>
  <c r="BJ27" i="92"/>
  <c r="BB27" i="92"/>
  <c r="AT27" i="92"/>
  <c r="AL27" i="92"/>
  <c r="BI27" i="92"/>
  <c r="BA27" i="92"/>
  <c r="AS27" i="92"/>
  <c r="AK27" i="92"/>
  <c r="AJ27" i="92"/>
  <c r="BO26" i="92"/>
  <c r="AQ26" i="83"/>
  <c r="AY26" i="83"/>
  <c r="BG26" i="83"/>
  <c r="CE26" i="83"/>
  <c r="CM26" i="83"/>
  <c r="CU26" i="83"/>
  <c r="DC26" i="83"/>
  <c r="CG26" i="83"/>
  <c r="CW26" i="83"/>
  <c r="AJ26" i="83"/>
  <c r="AR26" i="83"/>
  <c r="AZ26" i="83"/>
  <c r="BH26" i="83"/>
  <c r="CF26" i="83"/>
  <c r="CN26" i="83"/>
  <c r="CV26" i="83"/>
  <c r="DD26" i="83"/>
  <c r="CO26" i="83"/>
  <c r="AK26" i="83"/>
  <c r="AS26" i="83"/>
  <c r="BA26" i="83"/>
  <c r="BI26" i="83"/>
  <c r="AL26" i="83"/>
  <c r="AT26" i="83"/>
  <c r="BB26" i="83"/>
  <c r="BJ26" i="83"/>
  <c r="CH26" i="83"/>
  <c r="CP26" i="83"/>
  <c r="CX26" i="83"/>
  <c r="CA26" i="83"/>
  <c r="CQ26" i="83"/>
  <c r="CY26" i="83"/>
  <c r="AM26" i="83"/>
  <c r="AU26" i="83"/>
  <c r="BC26" i="83"/>
  <c r="BK26" i="83"/>
  <c r="CI26" i="83"/>
  <c r="AN26" i="83"/>
  <c r="BF26" i="83"/>
  <c r="CC26" i="83"/>
  <c r="CZ26" i="83"/>
  <c r="AO26" i="83"/>
  <c r="BL26" i="83"/>
  <c r="CD26" i="83"/>
  <c r="DA26" i="83"/>
  <c r="AP26" i="83"/>
  <c r="BM26" i="83"/>
  <c r="CJ26" i="83"/>
  <c r="DB26" i="83"/>
  <c r="AV26" i="83"/>
  <c r="CK26" i="83"/>
  <c r="AW26" i="83"/>
  <c r="CL26" i="83"/>
  <c r="AX26" i="83"/>
  <c r="CR26" i="83"/>
  <c r="BD26" i="83"/>
  <c r="CS26" i="83"/>
  <c r="BE26" i="83"/>
  <c r="CB26" i="83"/>
  <c r="CT26" i="83"/>
  <c r="CY27" i="86"/>
  <c r="CQ27" i="86"/>
  <c r="CI27" i="86"/>
  <c r="CA27" i="86"/>
  <c r="CX27" i="86"/>
  <c r="CP27" i="86"/>
  <c r="CH27" i="86"/>
  <c r="DD27" i="86"/>
  <c r="CT27" i="86"/>
  <c r="CJ27" i="86"/>
  <c r="DC27" i="86"/>
  <c r="CS27" i="86"/>
  <c r="CG27" i="86"/>
  <c r="DB27" i="86"/>
  <c r="CR27" i="86"/>
  <c r="CF27" i="86"/>
  <c r="DA27" i="86"/>
  <c r="CO27" i="86"/>
  <c r="CE27" i="86"/>
  <c r="CZ27" i="86"/>
  <c r="CN27" i="86"/>
  <c r="CD27" i="86"/>
  <c r="CW27" i="86"/>
  <c r="CM27" i="86"/>
  <c r="CC27" i="86"/>
  <c r="CK27" i="86"/>
  <c r="CV27" i="86"/>
  <c r="CU27" i="86"/>
  <c r="CL27" i="86"/>
  <c r="CB27" i="86"/>
  <c r="BM27" i="86"/>
  <c r="BE27" i="86"/>
  <c r="AW27" i="86"/>
  <c r="AO27" i="86"/>
  <c r="BH27" i="86"/>
  <c r="AY27" i="86"/>
  <c r="AP27" i="86"/>
  <c r="BG27" i="86"/>
  <c r="AX27" i="86"/>
  <c r="AN27" i="86"/>
  <c r="BF27" i="86"/>
  <c r="AV27" i="86"/>
  <c r="AM27" i="86"/>
  <c r="BD27" i="86"/>
  <c r="AU27" i="86"/>
  <c r="AL27" i="86"/>
  <c r="BL27" i="86"/>
  <c r="BC27" i="86"/>
  <c r="AT27" i="86"/>
  <c r="AK27" i="86"/>
  <c r="BK27" i="86"/>
  <c r="BB27" i="86"/>
  <c r="AS27" i="86"/>
  <c r="AJ27" i="86"/>
  <c r="BJ27" i="86"/>
  <c r="BA27" i="86"/>
  <c r="AR27" i="86"/>
  <c r="BI27" i="86"/>
  <c r="AZ27" i="86"/>
  <c r="AQ27" i="86"/>
  <c r="DB26" i="85"/>
  <c r="CT26" i="85"/>
  <c r="CL26" i="85"/>
  <c r="CD26" i="85"/>
  <c r="DA26" i="85"/>
  <c r="CS26" i="85"/>
  <c r="CK26" i="85"/>
  <c r="CB26" i="85"/>
  <c r="CX26" i="85"/>
  <c r="CN26" i="85"/>
  <c r="CA26" i="85"/>
  <c r="CW26" i="85"/>
  <c r="CM26" i="85"/>
  <c r="CV26" i="85"/>
  <c r="CJ26" i="85"/>
  <c r="CU26" i="85"/>
  <c r="CI26" i="85"/>
  <c r="DD26" i="85"/>
  <c r="CR26" i="85"/>
  <c r="CH26" i="85"/>
  <c r="DC26" i="85"/>
  <c r="CQ26" i="85"/>
  <c r="CG26" i="85"/>
  <c r="CZ26" i="85"/>
  <c r="CP26" i="85"/>
  <c r="CF26" i="85"/>
  <c r="CY26" i="85"/>
  <c r="CO26" i="85"/>
  <c r="CE26" i="85"/>
  <c r="BM26" i="85"/>
  <c r="BE26" i="85"/>
  <c r="AW26" i="85"/>
  <c r="AO26" i="85"/>
  <c r="BL26" i="85"/>
  <c r="BD26" i="85"/>
  <c r="AV26" i="85"/>
  <c r="AN26" i="85"/>
  <c r="BK26" i="85"/>
  <c r="BC26" i="85"/>
  <c r="AU26" i="85"/>
  <c r="AM26" i="85"/>
  <c r="BJ26" i="85"/>
  <c r="BB26" i="85"/>
  <c r="AT26" i="85"/>
  <c r="AK26" i="85"/>
  <c r="BI26" i="85"/>
  <c r="BA26" i="85"/>
  <c r="AS26" i="85"/>
  <c r="AJ26" i="85"/>
  <c r="BH26" i="85"/>
  <c r="AZ26" i="85"/>
  <c r="AR26" i="85"/>
  <c r="BG26" i="85"/>
  <c r="AY26" i="85"/>
  <c r="AQ26" i="85"/>
  <c r="BF26" i="85"/>
  <c r="AX26" i="85"/>
  <c r="AP26" i="85"/>
  <c r="AL26" i="85"/>
  <c r="CZ26" i="84"/>
  <c r="CR26" i="84"/>
  <c r="CJ26" i="84"/>
  <c r="CB26" i="84"/>
  <c r="DA26" i="84"/>
  <c r="CQ26" i="84"/>
  <c r="CH26" i="84"/>
  <c r="CX26" i="84"/>
  <c r="CO26" i="84"/>
  <c r="CF26" i="84"/>
  <c r="CV26" i="84"/>
  <c r="CK26" i="84"/>
  <c r="CU26" i="84"/>
  <c r="CI26" i="84"/>
  <c r="CT26" i="84"/>
  <c r="CG26" i="84"/>
  <c r="DD26" i="84"/>
  <c r="CS26" i="84"/>
  <c r="CE26" i="84"/>
  <c r="DC26" i="84"/>
  <c r="CP26" i="84"/>
  <c r="CD26" i="84"/>
  <c r="CC26" i="84"/>
  <c r="CA26" i="84"/>
  <c r="DB26" i="84"/>
  <c r="CY26" i="84"/>
  <c r="CW26" i="84"/>
  <c r="CN26" i="84"/>
  <c r="CM26" i="84"/>
  <c r="CL26" i="84"/>
  <c r="BH26" i="84"/>
  <c r="AZ26" i="84"/>
  <c r="AR26" i="84"/>
  <c r="AJ26" i="84"/>
  <c r="BG26" i="84"/>
  <c r="AY26" i="84"/>
  <c r="AQ26" i="84"/>
  <c r="BF26" i="84"/>
  <c r="AX26" i="84"/>
  <c r="AP26" i="84"/>
  <c r="BM26" i="84"/>
  <c r="BE26" i="84"/>
  <c r="AW26" i="84"/>
  <c r="AO26" i="84"/>
  <c r="BL26" i="84"/>
  <c r="BD26" i="84"/>
  <c r="AV26" i="84"/>
  <c r="AN26" i="84"/>
  <c r="BK26" i="84"/>
  <c r="BC26" i="84"/>
  <c r="AU26" i="84"/>
  <c r="AM26" i="84"/>
  <c r="BJ26" i="84"/>
  <c r="BB26" i="84"/>
  <c r="AT26" i="84"/>
  <c r="AL26" i="84"/>
  <c r="BI26" i="84"/>
  <c r="BA26" i="84"/>
  <c r="AS26" i="84"/>
  <c r="AK26" i="84"/>
  <c r="B17" i="95"/>
  <c r="BF28" i="43"/>
  <c r="BT41" i="43"/>
  <c r="BU41" i="43" s="1"/>
  <c r="B31" i="96" s="1"/>
  <c r="B30" i="96"/>
  <c r="B16" i="47"/>
  <c r="P27" i="43"/>
  <c r="B16" i="48"/>
  <c r="AR27" i="43"/>
  <c r="B16" i="49"/>
  <c r="AD27" i="43"/>
  <c r="BN25" i="93"/>
  <c r="X14" i="23"/>
  <c r="AD14" i="24" s="1"/>
  <c r="T14" i="23"/>
  <c r="Y14" i="24" s="1"/>
  <c r="P13" i="23"/>
  <c r="T13" i="24" s="1"/>
  <c r="AS15" i="23"/>
  <c r="Z15" i="25"/>
  <c r="B27" i="93"/>
  <c r="A28" i="93"/>
  <c r="D26" i="93"/>
  <c r="AA14" i="25"/>
  <c r="AT14" i="23"/>
  <c r="AV13" i="23"/>
  <c r="AD13" i="25"/>
  <c r="AO16" i="23"/>
  <c r="U16" i="25"/>
  <c r="P16" i="25"/>
  <c r="AK16" i="23"/>
  <c r="AC15" i="23"/>
  <c r="F15" i="25"/>
  <c r="Z16" i="24"/>
  <c r="U16" i="23"/>
  <c r="Q16" i="23"/>
  <c r="U16" i="24"/>
  <c r="M15" i="23"/>
  <c r="P15" i="24"/>
  <c r="B27" i="85"/>
  <c r="A28" i="85"/>
  <c r="N14" i="23"/>
  <c r="Q14" i="24"/>
  <c r="D26" i="85"/>
  <c r="K15" i="24"/>
  <c r="I15" i="23"/>
  <c r="F15" i="24"/>
  <c r="E15" i="23"/>
  <c r="V15" i="24"/>
  <c r="R15" i="23"/>
  <c r="J14" i="23"/>
  <c r="L14" i="24"/>
  <c r="F14" i="23"/>
  <c r="G14" i="24"/>
  <c r="V15" i="23"/>
  <c r="AA15" i="24"/>
  <c r="V15" i="25"/>
  <c r="AP15" i="23"/>
  <c r="AF13" i="23"/>
  <c r="J13" i="25"/>
  <c r="Y14" i="25"/>
  <c r="AR14" i="23"/>
  <c r="AD14" i="23"/>
  <c r="G14" i="25"/>
  <c r="Q15" i="25"/>
  <c r="AL15" i="23"/>
  <c r="T14" i="25"/>
  <c r="AN14" i="23"/>
  <c r="AG16" i="23"/>
  <c r="K16" i="25"/>
  <c r="AH15" i="23"/>
  <c r="L15" i="25"/>
  <c r="O14" i="25"/>
  <c r="AJ14" i="23"/>
  <c r="E13" i="25"/>
  <c r="AB13" i="23"/>
  <c r="Z14" i="23"/>
  <c r="B14" i="25"/>
  <c r="A15" i="25"/>
  <c r="Y15" i="23"/>
  <c r="D27" i="92"/>
  <c r="A29" i="92"/>
  <c r="B28" i="92"/>
  <c r="D27" i="91"/>
  <c r="A29" i="91"/>
  <c r="B28" i="91"/>
  <c r="D27" i="90"/>
  <c r="B28" i="90"/>
  <c r="A29" i="90"/>
  <c r="B27" i="89"/>
  <c r="A28" i="89"/>
  <c r="D26" i="89"/>
  <c r="D26" i="88"/>
  <c r="A28" i="88"/>
  <c r="B27" i="88"/>
  <c r="D27" i="87"/>
  <c r="B28" i="87"/>
  <c r="A29" i="87"/>
  <c r="A29" i="86"/>
  <c r="B28" i="86"/>
  <c r="D27" i="86"/>
  <c r="D26" i="84"/>
  <c r="L14" i="23" s="1"/>
  <c r="O14" i="24" s="1"/>
  <c r="A28" i="84"/>
  <c r="B27" i="84"/>
  <c r="D26" i="83"/>
  <c r="H14" i="23" s="1"/>
  <c r="J14" i="24" s="1"/>
  <c r="B27" i="83"/>
  <c r="A28" i="83"/>
  <c r="BI28" i="91" l="1"/>
  <c r="BA28" i="91"/>
  <c r="AS28" i="91"/>
  <c r="AK28" i="91"/>
  <c r="BH28" i="91"/>
  <c r="AZ28" i="91"/>
  <c r="AR28" i="91"/>
  <c r="AJ28" i="91"/>
  <c r="BG28" i="91"/>
  <c r="AY28" i="91"/>
  <c r="AQ28" i="91"/>
  <c r="BF28" i="91"/>
  <c r="AX28" i="91"/>
  <c r="AP28" i="91"/>
  <c r="BM28" i="91"/>
  <c r="BE28" i="91"/>
  <c r="AW28" i="91"/>
  <c r="AO28" i="91"/>
  <c r="BL28" i="91"/>
  <c r="BD28" i="91"/>
  <c r="AV28" i="91"/>
  <c r="AN28" i="91"/>
  <c r="BK28" i="91"/>
  <c r="BC28" i="91"/>
  <c r="AU28" i="91"/>
  <c r="AM28" i="91"/>
  <c r="BJ28" i="91"/>
  <c r="BB28" i="91"/>
  <c r="AT28" i="91"/>
  <c r="AL28" i="91"/>
  <c r="DD28" i="91"/>
  <c r="CV28" i="91"/>
  <c r="CN28" i="91"/>
  <c r="CF28" i="91"/>
  <c r="DC28" i="91"/>
  <c r="CU28" i="91"/>
  <c r="CM28" i="91"/>
  <c r="CE28" i="91"/>
  <c r="DA28" i="91"/>
  <c r="CS28" i="91"/>
  <c r="CK28" i="91"/>
  <c r="CC28" i="91"/>
  <c r="CZ28" i="91"/>
  <c r="CR28" i="91"/>
  <c r="CJ28" i="91"/>
  <c r="CB28" i="91"/>
  <c r="CY28" i="91"/>
  <c r="CQ28" i="91"/>
  <c r="CI28" i="91"/>
  <c r="CA28" i="91"/>
  <c r="CX28" i="91"/>
  <c r="CP28" i="91"/>
  <c r="CH28" i="91"/>
  <c r="CD28" i="91"/>
  <c r="DB28" i="91"/>
  <c r="CW28" i="91"/>
  <c r="CT28" i="91"/>
  <c r="CO28" i="91"/>
  <c r="CL28" i="91"/>
  <c r="CG28" i="91"/>
  <c r="CX27" i="93"/>
  <c r="CP27" i="93"/>
  <c r="CH27" i="93"/>
  <c r="DD27" i="93"/>
  <c r="CU27" i="93"/>
  <c r="CL27" i="93"/>
  <c r="CC27" i="93"/>
  <c r="DC27" i="93"/>
  <c r="CT27" i="93"/>
  <c r="CK27" i="93"/>
  <c r="CB27" i="93"/>
  <c r="DB27" i="93"/>
  <c r="CS27" i="93"/>
  <c r="CJ27" i="93"/>
  <c r="CA27" i="93"/>
  <c r="DA27" i="93"/>
  <c r="CR27" i="93"/>
  <c r="CI27" i="93"/>
  <c r="CZ27" i="93"/>
  <c r="CQ27" i="93"/>
  <c r="CG27" i="93"/>
  <c r="CY27" i="93"/>
  <c r="CO27" i="93"/>
  <c r="CF27" i="93"/>
  <c r="CW27" i="93"/>
  <c r="CN27" i="93"/>
  <c r="CE27" i="93"/>
  <c r="CV27" i="93"/>
  <c r="CM27" i="93"/>
  <c r="CD27" i="93"/>
  <c r="BJ27" i="93"/>
  <c r="BB27" i="93"/>
  <c r="AT27" i="93"/>
  <c r="AL27" i="93"/>
  <c r="BI27" i="93"/>
  <c r="BA27" i="93"/>
  <c r="AS27" i="93"/>
  <c r="AK27" i="93"/>
  <c r="BH27" i="93"/>
  <c r="AZ27" i="93"/>
  <c r="AR27" i="93"/>
  <c r="AJ27" i="93"/>
  <c r="BF27" i="93"/>
  <c r="AX27" i="93"/>
  <c r="AP27" i="93"/>
  <c r="BL27" i="93"/>
  <c r="BD27" i="93"/>
  <c r="AV27" i="93"/>
  <c r="AN27" i="93"/>
  <c r="BK27" i="93"/>
  <c r="BC27" i="93"/>
  <c r="AU27" i="93"/>
  <c r="AM27" i="93"/>
  <c r="BM27" i="93"/>
  <c r="BG27" i="93"/>
  <c r="BE27" i="93"/>
  <c r="AY27" i="93"/>
  <c r="AW27" i="93"/>
  <c r="AQ27" i="93"/>
  <c r="AO27" i="93"/>
  <c r="CW27" i="89"/>
  <c r="CO27" i="89"/>
  <c r="CG27" i="89"/>
  <c r="DD27" i="89"/>
  <c r="CV27" i="89"/>
  <c r="CN27" i="89"/>
  <c r="CF27" i="89"/>
  <c r="DC27" i="89"/>
  <c r="CU27" i="89"/>
  <c r="CM27" i="89"/>
  <c r="CE27" i="89"/>
  <c r="DB27" i="89"/>
  <c r="CT27" i="89"/>
  <c r="CL27" i="89"/>
  <c r="CD27" i="89"/>
  <c r="CZ27" i="89"/>
  <c r="CR27" i="89"/>
  <c r="CJ27" i="89"/>
  <c r="CB27" i="89"/>
  <c r="CY27" i="89"/>
  <c r="CQ27" i="89"/>
  <c r="CI27" i="89"/>
  <c r="CA27" i="89"/>
  <c r="CX27" i="89"/>
  <c r="CP27" i="89"/>
  <c r="CH27" i="89"/>
  <c r="DA27" i="89"/>
  <c r="CS27" i="89"/>
  <c r="CK27" i="89"/>
  <c r="CC27" i="89"/>
  <c r="BG27" i="89"/>
  <c r="AY27" i="89"/>
  <c r="AQ27" i="89"/>
  <c r="BF27" i="89"/>
  <c r="AX27" i="89"/>
  <c r="AP27" i="89"/>
  <c r="BM27" i="89"/>
  <c r="BE27" i="89"/>
  <c r="AW27" i="89"/>
  <c r="AO27" i="89"/>
  <c r="BL27" i="89"/>
  <c r="BD27" i="89"/>
  <c r="AV27" i="89"/>
  <c r="AN27" i="89"/>
  <c r="BK27" i="89"/>
  <c r="BC27" i="89"/>
  <c r="AU27" i="89"/>
  <c r="AM27" i="89"/>
  <c r="BJ27" i="89"/>
  <c r="BB27" i="89"/>
  <c r="AT27" i="89"/>
  <c r="AL27" i="89"/>
  <c r="BI27" i="89"/>
  <c r="BA27" i="89"/>
  <c r="AS27" i="89"/>
  <c r="AK27" i="89"/>
  <c r="AZ27" i="89"/>
  <c r="AR27" i="89"/>
  <c r="AJ27" i="89"/>
  <c r="BH27" i="89"/>
  <c r="BO27" i="92"/>
  <c r="DB28" i="92"/>
  <c r="CT28" i="92"/>
  <c r="CL28" i="92"/>
  <c r="CD28" i="92"/>
  <c r="DA28" i="92"/>
  <c r="CS28" i="92"/>
  <c r="CK28" i="92"/>
  <c r="CC28" i="92"/>
  <c r="CZ28" i="92"/>
  <c r="CR28" i="92"/>
  <c r="CJ28" i="92"/>
  <c r="CB28" i="92"/>
  <c r="CY28" i="92"/>
  <c r="CQ28" i="92"/>
  <c r="CI28" i="92"/>
  <c r="CA28" i="92"/>
  <c r="CX28" i="92"/>
  <c r="CP28" i="92"/>
  <c r="CH28" i="92"/>
  <c r="CW28" i="92"/>
  <c r="CO28" i="92"/>
  <c r="CG28" i="92"/>
  <c r="DD28" i="92"/>
  <c r="CV28" i="92"/>
  <c r="CN28" i="92"/>
  <c r="CF28" i="92"/>
  <c r="DC28" i="92"/>
  <c r="CU28" i="92"/>
  <c r="CM28" i="92"/>
  <c r="CE28" i="92"/>
  <c r="BI28" i="92"/>
  <c r="BA28" i="92"/>
  <c r="AS28" i="92"/>
  <c r="AK28" i="92"/>
  <c r="BJ28" i="92"/>
  <c r="BH28" i="92"/>
  <c r="AZ28" i="92"/>
  <c r="AR28" i="92"/>
  <c r="AJ28" i="92"/>
  <c r="BG28" i="92"/>
  <c r="AY28" i="92"/>
  <c r="AQ28" i="92"/>
  <c r="AL28" i="92"/>
  <c r="BF28" i="92"/>
  <c r="AX28" i="92"/>
  <c r="AP28" i="92"/>
  <c r="BB28" i="92"/>
  <c r="BM28" i="92"/>
  <c r="BE28" i="92"/>
  <c r="AW28" i="92"/>
  <c r="AO28" i="92"/>
  <c r="BL28" i="92"/>
  <c r="BD28" i="92"/>
  <c r="AV28" i="92"/>
  <c r="AN28" i="92"/>
  <c r="AT28" i="92"/>
  <c r="BK28" i="92"/>
  <c r="BC28" i="92"/>
  <c r="AU28" i="92"/>
  <c r="AM28" i="92"/>
  <c r="CX28" i="87"/>
  <c r="CO28" i="87"/>
  <c r="CG28" i="87"/>
  <c r="CW28" i="87"/>
  <c r="CN28" i="87"/>
  <c r="CF28" i="87"/>
  <c r="DD28" i="87"/>
  <c r="CV28" i="87"/>
  <c r="CM28" i="87"/>
  <c r="CE28" i="87"/>
  <c r="DC28" i="87"/>
  <c r="CU28" i="87"/>
  <c r="CL28" i="87"/>
  <c r="CD28" i="87"/>
  <c r="DB28" i="87"/>
  <c r="CT28" i="87"/>
  <c r="CK28" i="87"/>
  <c r="DA28" i="87"/>
  <c r="CS28" i="87"/>
  <c r="CJ28" i="87"/>
  <c r="CB28" i="87"/>
  <c r="CZ28" i="87"/>
  <c r="CQ28" i="87"/>
  <c r="CI28" i="87"/>
  <c r="CA28" i="87"/>
  <c r="CY28" i="87"/>
  <c r="CP28" i="87"/>
  <c r="CH28" i="87"/>
  <c r="BH28" i="87"/>
  <c r="AY28" i="87"/>
  <c r="AQ28" i="87"/>
  <c r="BG28" i="87"/>
  <c r="AX28" i="87"/>
  <c r="AP28" i="87"/>
  <c r="BF28" i="87"/>
  <c r="AW28" i="87"/>
  <c r="AO28" i="87"/>
  <c r="BM28" i="87"/>
  <c r="BE28" i="87"/>
  <c r="AV28" i="87"/>
  <c r="AN28" i="87"/>
  <c r="BJ28" i="87"/>
  <c r="AS28" i="87"/>
  <c r="BI28" i="87"/>
  <c r="AR28" i="87"/>
  <c r="BD28" i="87"/>
  <c r="AM28" i="87"/>
  <c r="BC28" i="87"/>
  <c r="AL28" i="87"/>
  <c r="BB28" i="87"/>
  <c r="AK28" i="87"/>
  <c r="AZ28" i="87"/>
  <c r="AJ28" i="87"/>
  <c r="BL28" i="87"/>
  <c r="AU28" i="87"/>
  <c r="BK28" i="87"/>
  <c r="AT28" i="87"/>
  <c r="CR28" i="87"/>
  <c r="BA28" i="87"/>
  <c r="DD28" i="90"/>
  <c r="CV28" i="90"/>
  <c r="CN28" i="90"/>
  <c r="CE28" i="90"/>
  <c r="DC28" i="90"/>
  <c r="CU28" i="90"/>
  <c r="CM28" i="90"/>
  <c r="CD28" i="90"/>
  <c r="DB28" i="90"/>
  <c r="CT28" i="90"/>
  <c r="CL28" i="90"/>
  <c r="CC28" i="90"/>
  <c r="DA28" i="90"/>
  <c r="CS28" i="90"/>
  <c r="CK28" i="90"/>
  <c r="CB28" i="90"/>
  <c r="CO28" i="90"/>
  <c r="CZ28" i="90"/>
  <c r="CJ28" i="90"/>
  <c r="CY28" i="90"/>
  <c r="CI28" i="90"/>
  <c r="CX28" i="90"/>
  <c r="CH28" i="90"/>
  <c r="CW28" i="90"/>
  <c r="CF28" i="90"/>
  <c r="CR28" i="90"/>
  <c r="CA28" i="90"/>
  <c r="CQ28" i="90"/>
  <c r="CP28" i="90"/>
  <c r="BG28" i="90"/>
  <c r="AY28" i="90"/>
  <c r="AQ28" i="90"/>
  <c r="BF28" i="90"/>
  <c r="AX28" i="90"/>
  <c r="AO28" i="90"/>
  <c r="BM28" i="90"/>
  <c r="BE28" i="90"/>
  <c r="AW28" i="90"/>
  <c r="AN28" i="90"/>
  <c r="AR28" i="90"/>
  <c r="BL28" i="90"/>
  <c r="BD28" i="90"/>
  <c r="AV28" i="90"/>
  <c r="AM28" i="90"/>
  <c r="BK28" i="90"/>
  <c r="BC28" i="90"/>
  <c r="AU28" i="90"/>
  <c r="AL28" i="90"/>
  <c r="BH28" i="90"/>
  <c r="BJ28" i="90"/>
  <c r="BB28" i="90"/>
  <c r="AT28" i="90"/>
  <c r="AK28" i="90"/>
  <c r="AZ28" i="90"/>
  <c r="BI28" i="90"/>
  <c r="BA28" i="90"/>
  <c r="AS28" i="90"/>
  <c r="AJ28" i="90"/>
  <c r="AP28" i="90"/>
  <c r="CG28" i="90"/>
  <c r="CB27" i="88"/>
  <c r="CJ27" i="88"/>
  <c r="CR27" i="88"/>
  <c r="CZ27" i="88"/>
  <c r="CC27" i="88"/>
  <c r="CK27" i="88"/>
  <c r="CS27" i="88"/>
  <c r="DA27" i="88"/>
  <c r="CD27" i="88"/>
  <c r="CL27" i="88"/>
  <c r="CT27" i="88"/>
  <c r="DB27" i="88"/>
  <c r="CE27" i="88"/>
  <c r="CM27" i="88"/>
  <c r="CU27" i="88"/>
  <c r="DC27" i="88"/>
  <c r="CF27" i="88"/>
  <c r="CN27" i="88"/>
  <c r="CV27" i="88"/>
  <c r="DD27" i="88"/>
  <c r="CG27" i="88"/>
  <c r="CO27" i="88"/>
  <c r="CW27" i="88"/>
  <c r="CH27" i="88"/>
  <c r="CP27" i="88"/>
  <c r="CX27" i="88"/>
  <c r="CA27" i="88"/>
  <c r="CI27" i="88"/>
  <c r="CQ27" i="88"/>
  <c r="CY27" i="88"/>
  <c r="AJ27" i="88"/>
  <c r="AR27" i="88"/>
  <c r="AZ27" i="88"/>
  <c r="BH27" i="88"/>
  <c r="AK27" i="88"/>
  <c r="AS27" i="88"/>
  <c r="BA27" i="88"/>
  <c r="BI27" i="88"/>
  <c r="AL27" i="88"/>
  <c r="AT27" i="88"/>
  <c r="BB27" i="88"/>
  <c r="BJ27" i="88"/>
  <c r="AM27" i="88"/>
  <c r="AU27" i="88"/>
  <c r="BC27" i="88"/>
  <c r="BK27" i="88"/>
  <c r="AN27" i="88"/>
  <c r="AV27" i="88"/>
  <c r="BD27" i="88"/>
  <c r="BL27" i="88"/>
  <c r="AO27" i="88"/>
  <c r="AW27" i="88"/>
  <c r="BE27" i="88"/>
  <c r="BM27" i="88"/>
  <c r="AP27" i="88"/>
  <c r="AX27" i="88"/>
  <c r="BF27" i="88"/>
  <c r="AQ27" i="88"/>
  <c r="AY27" i="88"/>
  <c r="BG27" i="88"/>
  <c r="AK27" i="83"/>
  <c r="AS27" i="83"/>
  <c r="BA27" i="83"/>
  <c r="BI27" i="83"/>
  <c r="CG27" i="83"/>
  <c r="CO27" i="83"/>
  <c r="CW27" i="83"/>
  <c r="CI27" i="83"/>
  <c r="AL27" i="83"/>
  <c r="AT27" i="83"/>
  <c r="BB27" i="83"/>
  <c r="BJ27" i="83"/>
  <c r="CH27" i="83"/>
  <c r="CP27" i="83"/>
  <c r="CX27" i="83"/>
  <c r="CA27" i="83"/>
  <c r="CY27" i="83"/>
  <c r="AM27" i="83"/>
  <c r="AU27" i="83"/>
  <c r="BC27" i="83"/>
  <c r="BK27" i="83"/>
  <c r="CQ27" i="83"/>
  <c r="AN27" i="83"/>
  <c r="AV27" i="83"/>
  <c r="BD27" i="83"/>
  <c r="BL27" i="83"/>
  <c r="CB27" i="83"/>
  <c r="CJ27" i="83"/>
  <c r="CR27" i="83"/>
  <c r="CZ27" i="83"/>
  <c r="CK27" i="83"/>
  <c r="CS27" i="83"/>
  <c r="AO27" i="83"/>
  <c r="AW27" i="83"/>
  <c r="BE27" i="83"/>
  <c r="BM27" i="83"/>
  <c r="CC27" i="83"/>
  <c r="DA27" i="83"/>
  <c r="AY27" i="83"/>
  <c r="CN27" i="83"/>
  <c r="AZ27" i="83"/>
  <c r="CT27" i="83"/>
  <c r="BF27" i="83"/>
  <c r="CU27" i="83"/>
  <c r="AJ27" i="83"/>
  <c r="BG27" i="83"/>
  <c r="CD27" i="83"/>
  <c r="CV27" i="83"/>
  <c r="AP27" i="83"/>
  <c r="BH27" i="83"/>
  <c r="CE27" i="83"/>
  <c r="DB27" i="83"/>
  <c r="AQ27" i="83"/>
  <c r="CF27" i="83"/>
  <c r="DC27" i="83"/>
  <c r="AR27" i="83"/>
  <c r="CL27" i="83"/>
  <c r="DD27" i="83"/>
  <c r="AX27" i="83"/>
  <c r="CM27" i="83"/>
  <c r="CW27" i="85"/>
  <c r="CO27" i="85"/>
  <c r="CG27" i="85"/>
  <c r="DD27" i="85"/>
  <c r="CV27" i="85"/>
  <c r="CN27" i="85"/>
  <c r="CF27" i="85"/>
  <c r="DA27" i="85"/>
  <c r="CQ27" i="85"/>
  <c r="CE27" i="85"/>
  <c r="CZ27" i="85"/>
  <c r="CP27" i="85"/>
  <c r="CC27" i="85"/>
  <c r="CY27" i="85"/>
  <c r="CM27" i="85"/>
  <c r="CB27" i="85"/>
  <c r="CX27" i="85"/>
  <c r="CL27" i="85"/>
  <c r="CA27" i="85"/>
  <c r="CU27" i="85"/>
  <c r="CK27" i="85"/>
  <c r="CT27" i="85"/>
  <c r="CJ27" i="85"/>
  <c r="DC27" i="85"/>
  <c r="CS27" i="85"/>
  <c r="CI27" i="85"/>
  <c r="DB27" i="85"/>
  <c r="CR27" i="85"/>
  <c r="CH27" i="85"/>
  <c r="BH27" i="85"/>
  <c r="AZ27" i="85"/>
  <c r="AR27" i="85"/>
  <c r="BG27" i="85"/>
  <c r="AY27" i="85"/>
  <c r="AQ27" i="85"/>
  <c r="BF27" i="85"/>
  <c r="AX27" i="85"/>
  <c r="AP27" i="85"/>
  <c r="BM27" i="85"/>
  <c r="BE27" i="85"/>
  <c r="AW27" i="85"/>
  <c r="AO27" i="85"/>
  <c r="BL27" i="85"/>
  <c r="BD27" i="85"/>
  <c r="AV27" i="85"/>
  <c r="AN27" i="85"/>
  <c r="BK27" i="85"/>
  <c r="BC27" i="85"/>
  <c r="AU27" i="85"/>
  <c r="AL27" i="85"/>
  <c r="BJ27" i="85"/>
  <c r="BB27" i="85"/>
  <c r="AT27" i="85"/>
  <c r="AK27" i="85"/>
  <c r="BI27" i="85"/>
  <c r="BA27" i="85"/>
  <c r="AS27" i="85"/>
  <c r="AJ27" i="85"/>
  <c r="AM27" i="85"/>
  <c r="CD27" i="85"/>
  <c r="DA28" i="86"/>
  <c r="CS28" i="86"/>
  <c r="CK28" i="86"/>
  <c r="CC28" i="86"/>
  <c r="CZ28" i="86"/>
  <c r="CR28" i="86"/>
  <c r="CJ28" i="86"/>
  <c r="CB28" i="86"/>
  <c r="CV28" i="86"/>
  <c r="CL28" i="86"/>
  <c r="CU28" i="86"/>
  <c r="CI28" i="86"/>
  <c r="DD28" i="86"/>
  <c r="CT28" i="86"/>
  <c r="CH28" i="86"/>
  <c r="DC28" i="86"/>
  <c r="CQ28" i="86"/>
  <c r="CG28" i="86"/>
  <c r="DB28" i="86"/>
  <c r="CP28" i="86"/>
  <c r="CF28" i="86"/>
  <c r="CY28" i="86"/>
  <c r="CO28" i="86"/>
  <c r="CE28" i="86"/>
  <c r="CW28" i="86"/>
  <c r="CM28" i="86"/>
  <c r="CD28" i="86"/>
  <c r="CA28" i="86"/>
  <c r="CX28" i="86"/>
  <c r="CN28" i="86"/>
  <c r="BG28" i="86"/>
  <c r="AY28" i="86"/>
  <c r="AQ28" i="86"/>
  <c r="BE28" i="86"/>
  <c r="AV28" i="86"/>
  <c r="AM28" i="86"/>
  <c r="BM28" i="86"/>
  <c r="BD28" i="86"/>
  <c r="AU28" i="86"/>
  <c r="AL28" i="86"/>
  <c r="BL28" i="86"/>
  <c r="BC28" i="86"/>
  <c r="AT28" i="86"/>
  <c r="AK28" i="86"/>
  <c r="BK28" i="86"/>
  <c r="BB28" i="86"/>
  <c r="AS28" i="86"/>
  <c r="AJ28" i="86"/>
  <c r="BJ28" i="86"/>
  <c r="BA28" i="86"/>
  <c r="AR28" i="86"/>
  <c r="BI28" i="86"/>
  <c r="AZ28" i="86"/>
  <c r="AP28" i="86"/>
  <c r="BH28" i="86"/>
  <c r="AX28" i="86"/>
  <c r="AO28" i="86"/>
  <c r="BF28" i="86"/>
  <c r="AW28" i="86"/>
  <c r="AN28" i="86"/>
  <c r="DB27" i="84"/>
  <c r="CT27" i="84"/>
  <c r="CL27" i="84"/>
  <c r="CD27" i="84"/>
  <c r="CX27" i="84"/>
  <c r="CO27" i="84"/>
  <c r="CF27" i="84"/>
  <c r="CV27" i="84"/>
  <c r="CM27" i="84"/>
  <c r="CC27" i="84"/>
  <c r="DC27" i="84"/>
  <c r="CQ27" i="84"/>
  <c r="CE27" i="84"/>
  <c r="DA27" i="84"/>
  <c r="CP27" i="84"/>
  <c r="CB27" i="84"/>
  <c r="CZ27" i="84"/>
  <c r="CN27" i="84"/>
  <c r="CA27" i="84"/>
  <c r="CY27" i="84"/>
  <c r="CK27" i="84"/>
  <c r="CW27" i="84"/>
  <c r="CJ27" i="84"/>
  <c r="CH27" i="84"/>
  <c r="CG27" i="84"/>
  <c r="DD27" i="84"/>
  <c r="CU27" i="84"/>
  <c r="CS27" i="84"/>
  <c r="CR27" i="84"/>
  <c r="CI27" i="84"/>
  <c r="BJ27" i="84"/>
  <c r="BB27" i="84"/>
  <c r="AT27" i="84"/>
  <c r="AL27" i="84"/>
  <c r="BI27" i="84"/>
  <c r="BA27" i="84"/>
  <c r="AS27" i="84"/>
  <c r="AK27" i="84"/>
  <c r="BH27" i="84"/>
  <c r="AZ27" i="84"/>
  <c r="AR27" i="84"/>
  <c r="AJ27" i="84"/>
  <c r="BG27" i="84"/>
  <c r="AY27" i="84"/>
  <c r="AQ27" i="84"/>
  <c r="BF27" i="84"/>
  <c r="AX27" i="84"/>
  <c r="AP27" i="84"/>
  <c r="BM27" i="84"/>
  <c r="BE27" i="84"/>
  <c r="AW27" i="84"/>
  <c r="AO27" i="84"/>
  <c r="BL27" i="84"/>
  <c r="BD27" i="84"/>
  <c r="AV27" i="84"/>
  <c r="AN27" i="84"/>
  <c r="BK27" i="84"/>
  <c r="BC27" i="84"/>
  <c r="AU27" i="84"/>
  <c r="AM27" i="84"/>
  <c r="A18" i="95"/>
  <c r="BG28" i="43"/>
  <c r="A17" i="47"/>
  <c r="Q27" i="43"/>
  <c r="A17" i="48"/>
  <c r="AS27" i="43"/>
  <c r="A17" i="49"/>
  <c r="AE27" i="43"/>
  <c r="BN26" i="93"/>
  <c r="X15" i="23"/>
  <c r="AD15" i="24" s="1"/>
  <c r="T15" i="23"/>
  <c r="Y15" i="24" s="1"/>
  <c r="P14" i="23"/>
  <c r="T14" i="24" s="1"/>
  <c r="DE26" i="84"/>
  <c r="L26" i="84" s="1"/>
  <c r="BN27" i="90"/>
  <c r="K27" i="90" s="1"/>
  <c r="BN26" i="84"/>
  <c r="AS16" i="23"/>
  <c r="Z16" i="25"/>
  <c r="B28" i="93"/>
  <c r="A29" i="93"/>
  <c r="AT15" i="23"/>
  <c r="AA15" i="25"/>
  <c r="D27" i="93"/>
  <c r="AV14" i="23"/>
  <c r="AD14" i="25"/>
  <c r="U17" i="25"/>
  <c r="AO17" i="23"/>
  <c r="P17" i="25"/>
  <c r="AK17" i="23"/>
  <c r="AC16" i="23"/>
  <c r="F16" i="25"/>
  <c r="U17" i="23"/>
  <c r="Z17" i="24"/>
  <c r="U17" i="24"/>
  <c r="Q17" i="23"/>
  <c r="P16" i="24"/>
  <c r="M16" i="23"/>
  <c r="A29" i="85"/>
  <c r="B28" i="85"/>
  <c r="Q15" i="24"/>
  <c r="D27" i="85"/>
  <c r="N15" i="23"/>
  <c r="I16" i="23"/>
  <c r="K16" i="24"/>
  <c r="F16" i="24"/>
  <c r="E16" i="23"/>
  <c r="V16" i="24"/>
  <c r="R16" i="23"/>
  <c r="L15" i="24"/>
  <c r="J15" i="23"/>
  <c r="G15" i="24"/>
  <c r="F15" i="23"/>
  <c r="Q16" i="25"/>
  <c r="AL16" i="23"/>
  <c r="Y15" i="25"/>
  <c r="AR15" i="23"/>
  <c r="J14" i="25"/>
  <c r="AF14" i="23"/>
  <c r="G15" i="25"/>
  <c r="AD15" i="23"/>
  <c r="T15" i="25"/>
  <c r="AN15" i="23"/>
  <c r="AA16" i="24"/>
  <c r="V16" i="23"/>
  <c r="V16" i="25"/>
  <c r="AP16" i="23"/>
  <c r="AJ15" i="23"/>
  <c r="O15" i="25"/>
  <c r="K17" i="25"/>
  <c r="AG17" i="23"/>
  <c r="L16" i="25"/>
  <c r="AH16" i="23"/>
  <c r="AB14" i="23"/>
  <c r="E14" i="25"/>
  <c r="Y16" i="23"/>
  <c r="A16" i="25"/>
  <c r="B15" i="25"/>
  <c r="Z15" i="23"/>
  <c r="D28" i="92"/>
  <c r="B29" i="92"/>
  <c r="A30" i="92"/>
  <c r="D28" i="91"/>
  <c r="A30" i="91"/>
  <c r="B29" i="91"/>
  <c r="B29" i="90"/>
  <c r="A30" i="90"/>
  <c r="BO27" i="90"/>
  <c r="D28" i="90"/>
  <c r="B28" i="89"/>
  <c r="A29" i="89"/>
  <c r="D27" i="89"/>
  <c r="D27" i="88"/>
  <c r="A29" i="88"/>
  <c r="B28" i="88"/>
  <c r="A30" i="87"/>
  <c r="B29" i="87"/>
  <c r="D28" i="87"/>
  <c r="D28" i="86"/>
  <c r="A30" i="86"/>
  <c r="B29" i="86"/>
  <c r="D27" i="84"/>
  <c r="L15" i="23" s="1"/>
  <c r="O15" i="24" s="1"/>
  <c r="B28" i="84"/>
  <c r="A29" i="84"/>
  <c r="A29" i="83"/>
  <c r="B28" i="83"/>
  <c r="D27" i="83"/>
  <c r="H15" i="23" s="1"/>
  <c r="J15" i="24" s="1"/>
  <c r="DC28" i="93" l="1"/>
  <c r="CU28" i="93"/>
  <c r="CM28" i="93"/>
  <c r="CZ28" i="93"/>
  <c r="CR28" i="93"/>
  <c r="CJ28" i="93"/>
  <c r="CB28" i="93"/>
  <c r="CT28" i="93"/>
  <c r="CI28" i="93"/>
  <c r="DD28" i="93"/>
  <c r="CS28" i="93"/>
  <c r="CH28" i="93"/>
  <c r="DB28" i="93"/>
  <c r="CQ28" i="93"/>
  <c r="CG28" i="93"/>
  <c r="DA28" i="93"/>
  <c r="CP28" i="93"/>
  <c r="CF28" i="93"/>
  <c r="CY28" i="93"/>
  <c r="CO28" i="93"/>
  <c r="CE28" i="93"/>
  <c r="CX28" i="93"/>
  <c r="CN28" i="93"/>
  <c r="CD28" i="93"/>
  <c r="CW28" i="93"/>
  <c r="CL28" i="93"/>
  <c r="CC28" i="93"/>
  <c r="CV28" i="93"/>
  <c r="CK28" i="93"/>
  <c r="CA28" i="93"/>
  <c r="BL28" i="93"/>
  <c r="BD28" i="93"/>
  <c r="AV28" i="93"/>
  <c r="AN28" i="93"/>
  <c r="BK28" i="93"/>
  <c r="BC28" i="93"/>
  <c r="AU28" i="93"/>
  <c r="AM28" i="93"/>
  <c r="BJ28" i="93"/>
  <c r="BB28" i="93"/>
  <c r="AT28" i="93"/>
  <c r="AL28" i="93"/>
  <c r="BH28" i="93"/>
  <c r="AZ28" i="93"/>
  <c r="AR28" i="93"/>
  <c r="AJ28" i="93"/>
  <c r="BF28" i="93"/>
  <c r="AX28" i="93"/>
  <c r="AP28" i="93"/>
  <c r="BM28" i="93"/>
  <c r="BE28" i="93"/>
  <c r="AW28" i="93"/>
  <c r="AO28" i="93"/>
  <c r="AK28" i="93"/>
  <c r="BI28" i="93"/>
  <c r="BG28" i="93"/>
  <c r="BA28" i="93"/>
  <c r="AY28" i="93"/>
  <c r="AS28" i="93"/>
  <c r="AQ28" i="93"/>
  <c r="CD28" i="88"/>
  <c r="CL28" i="88"/>
  <c r="CT28" i="88"/>
  <c r="DB28" i="88"/>
  <c r="CE28" i="88"/>
  <c r="CM28" i="88"/>
  <c r="CU28" i="88"/>
  <c r="DC28" i="88"/>
  <c r="CF28" i="88"/>
  <c r="CN28" i="88"/>
  <c r="CV28" i="88"/>
  <c r="DD28" i="88"/>
  <c r="CG28" i="88"/>
  <c r="CO28" i="88"/>
  <c r="CW28" i="88"/>
  <c r="CH28" i="88"/>
  <c r="CP28" i="88"/>
  <c r="CX28" i="88"/>
  <c r="CA28" i="88"/>
  <c r="CI28" i="88"/>
  <c r="CQ28" i="88"/>
  <c r="CY28" i="88"/>
  <c r="CB28" i="88"/>
  <c r="CJ28" i="88"/>
  <c r="CR28" i="88"/>
  <c r="CZ28" i="88"/>
  <c r="CC28" i="88"/>
  <c r="CK28" i="88"/>
  <c r="CS28" i="88"/>
  <c r="DA28" i="88"/>
  <c r="AL28" i="88"/>
  <c r="AT28" i="88"/>
  <c r="BB28" i="88"/>
  <c r="BJ28" i="88"/>
  <c r="AM28" i="88"/>
  <c r="AU28" i="88"/>
  <c r="BC28" i="88"/>
  <c r="BK28" i="88"/>
  <c r="AN28" i="88"/>
  <c r="AV28" i="88"/>
  <c r="BD28" i="88"/>
  <c r="BL28" i="88"/>
  <c r="AO28" i="88"/>
  <c r="AW28" i="88"/>
  <c r="BE28" i="88"/>
  <c r="BM28" i="88"/>
  <c r="AP28" i="88"/>
  <c r="AX28" i="88"/>
  <c r="BF28" i="88"/>
  <c r="AQ28" i="88"/>
  <c r="AY28" i="88"/>
  <c r="BG28" i="88"/>
  <c r="AJ28" i="88"/>
  <c r="AR28" i="88"/>
  <c r="AZ28" i="88"/>
  <c r="BH28" i="88"/>
  <c r="AK28" i="88"/>
  <c r="BA28" i="88"/>
  <c r="BI28" i="88"/>
  <c r="AS28" i="88"/>
  <c r="BO28" i="92"/>
  <c r="DA29" i="87"/>
  <c r="CR29" i="87"/>
  <c r="CJ29" i="87"/>
  <c r="CB29" i="87"/>
  <c r="CZ29" i="87"/>
  <c r="CQ29" i="87"/>
  <c r="CI29" i="87"/>
  <c r="CA29" i="87"/>
  <c r="CY29" i="87"/>
  <c r="CP29" i="87"/>
  <c r="CH29" i="87"/>
  <c r="CX29" i="87"/>
  <c r="CO29" i="87"/>
  <c r="CG29" i="87"/>
  <c r="CW29" i="87"/>
  <c r="CN29" i="87"/>
  <c r="CF29" i="87"/>
  <c r="DD29" i="87"/>
  <c r="CV29" i="87"/>
  <c r="CM29" i="87"/>
  <c r="CE29" i="87"/>
  <c r="DC29" i="87"/>
  <c r="CU29" i="87"/>
  <c r="CL29" i="87"/>
  <c r="CD29" i="87"/>
  <c r="DB29" i="87"/>
  <c r="CT29" i="87"/>
  <c r="CK29" i="87"/>
  <c r="CC29" i="87"/>
  <c r="BK29" i="87"/>
  <c r="BC29" i="87"/>
  <c r="AT29" i="87"/>
  <c r="AL29" i="87"/>
  <c r="BJ29" i="87"/>
  <c r="BA29" i="87"/>
  <c r="AS29" i="87"/>
  <c r="AK29" i="87"/>
  <c r="BI29" i="87"/>
  <c r="AZ29" i="87"/>
  <c r="AR29" i="87"/>
  <c r="AJ29" i="87"/>
  <c r="BH29" i="87"/>
  <c r="AY29" i="87"/>
  <c r="AQ29" i="87"/>
  <c r="BG29" i="87"/>
  <c r="AV29" i="87"/>
  <c r="BM29" i="87"/>
  <c r="AU29" i="87"/>
  <c r="BL29" i="87"/>
  <c r="AP29" i="87"/>
  <c r="BF29" i="87"/>
  <c r="AO29" i="87"/>
  <c r="BE29" i="87"/>
  <c r="AN29" i="87"/>
  <c r="BD29" i="87"/>
  <c r="AM29" i="87"/>
  <c r="AX29" i="87"/>
  <c r="AW29" i="87"/>
  <c r="BB29" i="87"/>
  <c r="CS29" i="87"/>
  <c r="CY29" i="90"/>
  <c r="CQ29" i="90"/>
  <c r="CI29" i="90"/>
  <c r="CX29" i="90"/>
  <c r="CP29" i="90"/>
  <c r="CG29" i="90"/>
  <c r="CW29" i="90"/>
  <c r="CO29" i="90"/>
  <c r="CF29" i="90"/>
  <c r="DD29" i="90"/>
  <c r="CV29" i="90"/>
  <c r="CN29" i="90"/>
  <c r="CE29" i="90"/>
  <c r="CR29" i="90"/>
  <c r="CA29" i="90"/>
  <c r="DC29" i="90"/>
  <c r="CM29" i="90"/>
  <c r="DB29" i="90"/>
  <c r="CL29" i="90"/>
  <c r="DA29" i="90"/>
  <c r="CK29" i="90"/>
  <c r="CZ29" i="90"/>
  <c r="CJ29" i="90"/>
  <c r="CU29" i="90"/>
  <c r="CD29" i="90"/>
  <c r="CT29" i="90"/>
  <c r="CC29" i="90"/>
  <c r="CS29" i="90"/>
  <c r="CB29" i="90"/>
  <c r="BJ29" i="90"/>
  <c r="BB29" i="90"/>
  <c r="AT29" i="90"/>
  <c r="AK29" i="90"/>
  <c r="AU29" i="90"/>
  <c r="BI29" i="90"/>
  <c r="BA29" i="90"/>
  <c r="AS29" i="90"/>
  <c r="AJ29" i="90"/>
  <c r="BC29" i="90"/>
  <c r="BH29" i="90"/>
  <c r="AZ29" i="90"/>
  <c r="AR29" i="90"/>
  <c r="BG29" i="90"/>
  <c r="AY29" i="90"/>
  <c r="AP29" i="90"/>
  <c r="BF29" i="90"/>
  <c r="AX29" i="90"/>
  <c r="AO29" i="90"/>
  <c r="BM29" i="90"/>
  <c r="BE29" i="90"/>
  <c r="AW29" i="90"/>
  <c r="AN29" i="90"/>
  <c r="BL29" i="90"/>
  <c r="BD29" i="90"/>
  <c r="AV29" i="90"/>
  <c r="AM29" i="90"/>
  <c r="AL29" i="90"/>
  <c r="BK29" i="90"/>
  <c r="AQ29" i="90"/>
  <c r="CH29" i="90"/>
  <c r="CY28" i="89"/>
  <c r="CQ28" i="89"/>
  <c r="CI28" i="89"/>
  <c r="CA28" i="89"/>
  <c r="CX28" i="89"/>
  <c r="CP28" i="89"/>
  <c r="CH28" i="89"/>
  <c r="CW28" i="89"/>
  <c r="CO28" i="89"/>
  <c r="CG28" i="89"/>
  <c r="DD28" i="89"/>
  <c r="CV28" i="89"/>
  <c r="CN28" i="89"/>
  <c r="CF28" i="89"/>
  <c r="DB28" i="89"/>
  <c r="CT28" i="89"/>
  <c r="CL28" i="89"/>
  <c r="CD28" i="89"/>
  <c r="DA28" i="89"/>
  <c r="CS28" i="89"/>
  <c r="CK28" i="89"/>
  <c r="CC28" i="89"/>
  <c r="CZ28" i="89"/>
  <c r="CR28" i="89"/>
  <c r="CJ28" i="89"/>
  <c r="CB28" i="89"/>
  <c r="DC28" i="89"/>
  <c r="CU28" i="89"/>
  <c r="CM28" i="89"/>
  <c r="CE28" i="89"/>
  <c r="BI28" i="89"/>
  <c r="BA28" i="89"/>
  <c r="AS28" i="89"/>
  <c r="AK28" i="89"/>
  <c r="BH28" i="89"/>
  <c r="AZ28" i="89"/>
  <c r="AR28" i="89"/>
  <c r="AJ28" i="89"/>
  <c r="BG28" i="89"/>
  <c r="AY28" i="89"/>
  <c r="AQ28" i="89"/>
  <c r="BF28" i="89"/>
  <c r="AX28" i="89"/>
  <c r="AP28" i="89"/>
  <c r="BM28" i="89"/>
  <c r="BE28" i="89"/>
  <c r="AW28" i="89"/>
  <c r="AO28" i="89"/>
  <c r="BL28" i="89"/>
  <c r="BD28" i="89"/>
  <c r="AV28" i="89"/>
  <c r="AN28" i="89"/>
  <c r="BK28" i="89"/>
  <c r="BC28" i="89"/>
  <c r="AU28" i="89"/>
  <c r="AM28" i="89"/>
  <c r="BJ28" i="89"/>
  <c r="BB28" i="89"/>
  <c r="AT28" i="89"/>
  <c r="AL28" i="89"/>
  <c r="CW29" i="92"/>
  <c r="CO29" i="92"/>
  <c r="CG29" i="92"/>
  <c r="DD29" i="92"/>
  <c r="CV29" i="92"/>
  <c r="CN29" i="92"/>
  <c r="CE29" i="92"/>
  <c r="DC29" i="92"/>
  <c r="CU29" i="92"/>
  <c r="CM29" i="92"/>
  <c r="CD29" i="92"/>
  <c r="DB29" i="92"/>
  <c r="CT29" i="92"/>
  <c r="CL29" i="92"/>
  <c r="CC29" i="92"/>
  <c r="DA29" i="92"/>
  <c r="CS29" i="92"/>
  <c r="CK29" i="92"/>
  <c r="CB29" i="92"/>
  <c r="CZ29" i="92"/>
  <c r="CR29" i="92"/>
  <c r="CJ29" i="92"/>
  <c r="CA29" i="92"/>
  <c r="CY29" i="92"/>
  <c r="CQ29" i="92"/>
  <c r="CI29" i="92"/>
  <c r="CX29" i="92"/>
  <c r="CP29" i="92"/>
  <c r="CH29" i="92"/>
  <c r="BL29" i="92"/>
  <c r="BD29" i="92"/>
  <c r="AV29" i="92"/>
  <c r="AM29" i="92"/>
  <c r="BK29" i="92"/>
  <c r="BC29" i="92"/>
  <c r="AU29" i="92"/>
  <c r="AL29" i="92"/>
  <c r="BE29" i="92"/>
  <c r="BJ29" i="92"/>
  <c r="BB29" i="92"/>
  <c r="AT29" i="92"/>
  <c r="AK29" i="92"/>
  <c r="BI29" i="92"/>
  <c r="BA29" i="92"/>
  <c r="AS29" i="92"/>
  <c r="AJ29" i="92"/>
  <c r="BH29" i="92"/>
  <c r="AZ29" i="92"/>
  <c r="AR29" i="92"/>
  <c r="AN29" i="92"/>
  <c r="BG29" i="92"/>
  <c r="AY29" i="92"/>
  <c r="AQ29" i="92"/>
  <c r="BF29" i="92"/>
  <c r="AX29" i="92"/>
  <c r="AP29" i="92"/>
  <c r="BM29" i="92"/>
  <c r="AW29" i="92"/>
  <c r="CF29" i="92"/>
  <c r="AO29" i="92"/>
  <c r="BK29" i="91"/>
  <c r="BC29" i="91"/>
  <c r="AU29" i="91"/>
  <c r="AM29" i="91"/>
  <c r="BJ29" i="91"/>
  <c r="BB29" i="91"/>
  <c r="AT29" i="91"/>
  <c r="AL29" i="91"/>
  <c r="BI29" i="91"/>
  <c r="BA29" i="91"/>
  <c r="AS29" i="91"/>
  <c r="AK29" i="91"/>
  <c r="BH29" i="91"/>
  <c r="AZ29" i="91"/>
  <c r="AR29" i="91"/>
  <c r="AJ29" i="91"/>
  <c r="BG29" i="91"/>
  <c r="AY29" i="91"/>
  <c r="AQ29" i="91"/>
  <c r="BF29" i="91"/>
  <c r="AX29" i="91"/>
  <c r="AP29" i="91"/>
  <c r="BM29" i="91"/>
  <c r="BE29" i="91"/>
  <c r="AW29" i="91"/>
  <c r="AO29" i="91"/>
  <c r="DC29" i="91"/>
  <c r="BL29" i="91"/>
  <c r="BD29" i="91"/>
  <c r="AV29" i="91"/>
  <c r="AN29" i="91"/>
  <c r="CX29" i="91"/>
  <c r="CP29" i="91"/>
  <c r="CH29" i="91"/>
  <c r="CW29" i="91"/>
  <c r="CO29" i="91"/>
  <c r="CG29" i="91"/>
  <c r="DD29" i="91"/>
  <c r="CU29" i="91"/>
  <c r="CM29" i="91"/>
  <c r="CE29" i="91"/>
  <c r="DB29" i="91"/>
  <c r="CT29" i="91"/>
  <c r="CL29" i="91"/>
  <c r="CD29" i="91"/>
  <c r="DA29" i="91"/>
  <c r="CS29" i="91"/>
  <c r="CK29" i="91"/>
  <c r="CC29" i="91"/>
  <c r="CZ29" i="91"/>
  <c r="CR29" i="91"/>
  <c r="CJ29" i="91"/>
  <c r="CB29" i="91"/>
  <c r="CF29" i="91"/>
  <c r="CA29" i="91"/>
  <c r="CY29" i="91"/>
  <c r="CV29" i="91"/>
  <c r="CQ29" i="91"/>
  <c r="CN29" i="91"/>
  <c r="CI29" i="91"/>
  <c r="DD29" i="86"/>
  <c r="CV29" i="86"/>
  <c r="CN29" i="86"/>
  <c r="CF29" i="86"/>
  <c r="DC29" i="86"/>
  <c r="CU29" i="86"/>
  <c r="CM29" i="86"/>
  <c r="CE29" i="86"/>
  <c r="CY29" i="86"/>
  <c r="CO29" i="86"/>
  <c r="CC29" i="86"/>
  <c r="CX29" i="86"/>
  <c r="CL29" i="86"/>
  <c r="CB29" i="86"/>
  <c r="CW29" i="86"/>
  <c r="CK29" i="86"/>
  <c r="CT29" i="86"/>
  <c r="CJ29" i="86"/>
  <c r="CS29" i="86"/>
  <c r="CI29" i="86"/>
  <c r="DB29" i="86"/>
  <c r="CR29" i="86"/>
  <c r="CH29" i="86"/>
  <c r="CZ29" i="86"/>
  <c r="CQ29" i="86"/>
  <c r="CP29" i="86"/>
  <c r="CG29" i="86"/>
  <c r="CD29" i="86"/>
  <c r="DA29" i="86"/>
  <c r="BJ29" i="86"/>
  <c r="BB29" i="86"/>
  <c r="AT29" i="86"/>
  <c r="AL29" i="86"/>
  <c r="BM29" i="86"/>
  <c r="BD29" i="86"/>
  <c r="AU29" i="86"/>
  <c r="AK29" i="86"/>
  <c r="BL29" i="86"/>
  <c r="BC29" i="86"/>
  <c r="AS29" i="86"/>
  <c r="BK29" i="86"/>
  <c r="BA29" i="86"/>
  <c r="AR29" i="86"/>
  <c r="BI29" i="86"/>
  <c r="AZ29" i="86"/>
  <c r="AQ29" i="86"/>
  <c r="BH29" i="86"/>
  <c r="AY29" i="86"/>
  <c r="AP29" i="86"/>
  <c r="BG29" i="86"/>
  <c r="AX29" i="86"/>
  <c r="AO29" i="86"/>
  <c r="BF29" i="86"/>
  <c r="AW29" i="86"/>
  <c r="AN29" i="86"/>
  <c r="BE29" i="86"/>
  <c r="AV29" i="86"/>
  <c r="AM29" i="86"/>
  <c r="AJ29" i="86"/>
  <c r="AM28" i="83"/>
  <c r="AU28" i="83"/>
  <c r="BC28" i="83"/>
  <c r="BK28" i="83"/>
  <c r="CA28" i="83"/>
  <c r="CI28" i="83"/>
  <c r="CQ28" i="83"/>
  <c r="CY28" i="83"/>
  <c r="CC28" i="83"/>
  <c r="DA28" i="83"/>
  <c r="AN28" i="83"/>
  <c r="AV28" i="83"/>
  <c r="BD28" i="83"/>
  <c r="BL28" i="83"/>
  <c r="CB28" i="83"/>
  <c r="CJ28" i="83"/>
  <c r="CR28" i="83"/>
  <c r="CZ28" i="83"/>
  <c r="CK28" i="83"/>
  <c r="AO28" i="83"/>
  <c r="AW28" i="83"/>
  <c r="BE28" i="83"/>
  <c r="BM28" i="83"/>
  <c r="CS28" i="83"/>
  <c r="AP28" i="83"/>
  <c r="AX28" i="83"/>
  <c r="BF28" i="83"/>
  <c r="CD28" i="83"/>
  <c r="CL28" i="83"/>
  <c r="CT28" i="83"/>
  <c r="DB28" i="83"/>
  <c r="CE28" i="83"/>
  <c r="CM28" i="83"/>
  <c r="DC28" i="83"/>
  <c r="AQ28" i="83"/>
  <c r="AY28" i="83"/>
  <c r="BG28" i="83"/>
  <c r="CU28" i="83"/>
  <c r="AR28" i="83"/>
  <c r="BJ28" i="83"/>
  <c r="CG28" i="83"/>
  <c r="DD28" i="83"/>
  <c r="AS28" i="83"/>
  <c r="CH28" i="83"/>
  <c r="AT28" i="83"/>
  <c r="CN28" i="83"/>
  <c r="AZ28" i="83"/>
  <c r="CO28" i="83"/>
  <c r="BA28" i="83"/>
  <c r="CP28" i="83"/>
  <c r="AJ28" i="83"/>
  <c r="BB28" i="83"/>
  <c r="CV28" i="83"/>
  <c r="AK28" i="83"/>
  <c r="BH28" i="83"/>
  <c r="CW28" i="83"/>
  <c r="AL28" i="83"/>
  <c r="BI28" i="83"/>
  <c r="CF28" i="83"/>
  <c r="CX28" i="83"/>
  <c r="CY28" i="85"/>
  <c r="CQ28" i="85"/>
  <c r="CI28" i="85"/>
  <c r="CA28" i="85"/>
  <c r="CX28" i="85"/>
  <c r="CP28" i="85"/>
  <c r="CH28" i="85"/>
  <c r="DC28" i="85"/>
  <c r="CS28" i="85"/>
  <c r="CG28" i="85"/>
  <c r="DB28" i="85"/>
  <c r="CR28" i="85"/>
  <c r="CF28" i="85"/>
  <c r="DA28" i="85"/>
  <c r="CO28" i="85"/>
  <c r="CE28" i="85"/>
  <c r="CZ28" i="85"/>
  <c r="CN28" i="85"/>
  <c r="CD28" i="85"/>
  <c r="CW28" i="85"/>
  <c r="CM28" i="85"/>
  <c r="CC28" i="85"/>
  <c r="CV28" i="85"/>
  <c r="CL28" i="85"/>
  <c r="CB28" i="85"/>
  <c r="CU28" i="85"/>
  <c r="CK28" i="85"/>
  <c r="CT28" i="85"/>
  <c r="CJ28" i="85"/>
  <c r="DD28" i="85"/>
  <c r="BJ28" i="85"/>
  <c r="BB28" i="85"/>
  <c r="AT28" i="85"/>
  <c r="AL28" i="85"/>
  <c r="BI28" i="85"/>
  <c r="BA28" i="85"/>
  <c r="AS28" i="85"/>
  <c r="AK28" i="85"/>
  <c r="BH28" i="85"/>
  <c r="AZ28" i="85"/>
  <c r="AR28" i="85"/>
  <c r="AJ28" i="85"/>
  <c r="BG28" i="85"/>
  <c r="AY28" i="85"/>
  <c r="AQ28" i="85"/>
  <c r="BF28" i="85"/>
  <c r="AX28" i="85"/>
  <c r="AP28" i="85"/>
  <c r="BM28" i="85"/>
  <c r="BE28" i="85"/>
  <c r="AW28" i="85"/>
  <c r="AO28" i="85"/>
  <c r="BL28" i="85"/>
  <c r="BD28" i="85"/>
  <c r="AV28" i="85"/>
  <c r="AN28" i="85"/>
  <c r="BK28" i="85"/>
  <c r="BC28" i="85"/>
  <c r="AU28" i="85"/>
  <c r="AM28" i="85"/>
  <c r="DD28" i="84"/>
  <c r="CV28" i="84"/>
  <c r="CN28" i="84"/>
  <c r="CF28" i="84"/>
  <c r="CU28" i="84"/>
  <c r="CL28" i="84"/>
  <c r="CC28" i="84"/>
  <c r="DB28" i="84"/>
  <c r="CS28" i="84"/>
  <c r="CJ28" i="84"/>
  <c r="CA28" i="84"/>
  <c r="CX28" i="84"/>
  <c r="CK28" i="84"/>
  <c r="CW28" i="84"/>
  <c r="CI28" i="84"/>
  <c r="CT28" i="84"/>
  <c r="CH28" i="84"/>
  <c r="CR28" i="84"/>
  <c r="CG28" i="84"/>
  <c r="DC28" i="84"/>
  <c r="CQ28" i="84"/>
  <c r="CE28" i="84"/>
  <c r="CM28" i="84"/>
  <c r="CD28" i="84"/>
  <c r="CB28" i="84"/>
  <c r="DA28" i="84"/>
  <c r="CZ28" i="84"/>
  <c r="CY28" i="84"/>
  <c r="CP28" i="84"/>
  <c r="CO28" i="84"/>
  <c r="BL28" i="84"/>
  <c r="BD28" i="84"/>
  <c r="AV28" i="84"/>
  <c r="AN28" i="84"/>
  <c r="BK28" i="84"/>
  <c r="BC28" i="84"/>
  <c r="AU28" i="84"/>
  <c r="AM28" i="84"/>
  <c r="BJ28" i="84"/>
  <c r="BB28" i="84"/>
  <c r="AT28" i="84"/>
  <c r="AL28" i="84"/>
  <c r="BI28" i="84"/>
  <c r="BA28" i="84"/>
  <c r="AS28" i="84"/>
  <c r="AK28" i="84"/>
  <c r="BH28" i="84"/>
  <c r="AZ28" i="84"/>
  <c r="AR28" i="84"/>
  <c r="AJ28" i="84"/>
  <c r="BG28" i="84"/>
  <c r="AY28" i="84"/>
  <c r="AQ28" i="84"/>
  <c r="BF28" i="84"/>
  <c r="AX28" i="84"/>
  <c r="AP28" i="84"/>
  <c r="BM28" i="84"/>
  <c r="BE28" i="84"/>
  <c r="AW28" i="84"/>
  <c r="AO28" i="84"/>
  <c r="B18" i="95"/>
  <c r="BF29" i="43"/>
  <c r="B17" i="47"/>
  <c r="P28" i="43"/>
  <c r="B17" i="48"/>
  <c r="AR28" i="43"/>
  <c r="B17" i="49"/>
  <c r="AD28" i="43"/>
  <c r="BN27" i="93"/>
  <c r="K27" i="93" s="1"/>
  <c r="X16" i="23"/>
  <c r="AD16" i="24" s="1"/>
  <c r="T16" i="23"/>
  <c r="Y16" i="24" s="1"/>
  <c r="DE28" i="86"/>
  <c r="L28" i="86" s="1"/>
  <c r="P15" i="23"/>
  <c r="T15" i="24" s="1"/>
  <c r="BN28" i="86"/>
  <c r="K28" i="86" s="1"/>
  <c r="BO27" i="93"/>
  <c r="AV15" i="23"/>
  <c r="AD15" i="25"/>
  <c r="AS17" i="23"/>
  <c r="Z17" i="25"/>
  <c r="A30" i="93"/>
  <c r="B29" i="93"/>
  <c r="D28" i="93"/>
  <c r="AA16" i="25"/>
  <c r="AT16" i="23"/>
  <c r="U18" i="25"/>
  <c r="AO18" i="23"/>
  <c r="P18" i="25"/>
  <c r="AK18" i="23"/>
  <c r="F17" i="25"/>
  <c r="AC17" i="23"/>
  <c r="U18" i="23"/>
  <c r="Z18" i="24"/>
  <c r="Q18" i="23"/>
  <c r="U18" i="24"/>
  <c r="Q16" i="24"/>
  <c r="N16" i="23"/>
  <c r="D28" i="85"/>
  <c r="M17" i="23"/>
  <c r="P17" i="24"/>
  <c r="B29" i="85"/>
  <c r="A30" i="85"/>
  <c r="K17" i="24"/>
  <c r="I17" i="23"/>
  <c r="F17" i="24"/>
  <c r="E17" i="23"/>
  <c r="V17" i="24"/>
  <c r="R17" i="23"/>
  <c r="L16" i="24"/>
  <c r="J16" i="23"/>
  <c r="G16" i="24"/>
  <c r="F16" i="23"/>
  <c r="T16" i="25"/>
  <c r="AN16" i="23"/>
  <c r="AF15" i="23"/>
  <c r="J15" i="25"/>
  <c r="Q17" i="25"/>
  <c r="AL17" i="23"/>
  <c r="V17" i="23"/>
  <c r="AA17" i="24"/>
  <c r="V17" i="25"/>
  <c r="AP17" i="23"/>
  <c r="Y16" i="25"/>
  <c r="AR16" i="23"/>
  <c r="G16" i="25"/>
  <c r="AD16" i="23"/>
  <c r="K18" i="25"/>
  <c r="AG18" i="23"/>
  <c r="O16" i="25"/>
  <c r="AJ16" i="23"/>
  <c r="AH17" i="23"/>
  <c r="L17" i="25"/>
  <c r="Z16" i="23"/>
  <c r="B16" i="25"/>
  <c r="Y17" i="23"/>
  <c r="A17" i="25"/>
  <c r="E15" i="25"/>
  <c r="AB15" i="23"/>
  <c r="D29" i="92"/>
  <c r="B30" i="92"/>
  <c r="A31" i="92"/>
  <c r="D29" i="91"/>
  <c r="A31" i="91"/>
  <c r="B30" i="91"/>
  <c r="A31" i="90"/>
  <c r="B30" i="90"/>
  <c r="D29" i="90"/>
  <c r="B29" i="89"/>
  <c r="A30" i="89"/>
  <c r="D28" i="89"/>
  <c r="D28" i="88"/>
  <c r="A30" i="88"/>
  <c r="B29" i="88"/>
  <c r="D29" i="87"/>
  <c r="A31" i="87"/>
  <c r="B30" i="87"/>
  <c r="D29" i="86"/>
  <c r="A31" i="86"/>
  <c r="B30" i="86"/>
  <c r="B29" i="84"/>
  <c r="A30" i="84"/>
  <c r="D28" i="84"/>
  <c r="L16" i="23" s="1"/>
  <c r="O16" i="24" s="1"/>
  <c r="D28" i="83"/>
  <c r="H16" i="23" s="1"/>
  <c r="J16" i="24" s="1"/>
  <c r="A30" i="83"/>
  <c r="B29" i="83"/>
  <c r="D87" i="41"/>
  <c r="D86" i="41"/>
  <c r="D85" i="41"/>
  <c r="AV35" i="23" s="1"/>
  <c r="D84" i="41"/>
  <c r="D83" i="41"/>
  <c r="AM35" i="23" s="1"/>
  <c r="D82" i="41"/>
  <c r="H55" i="41" s="1"/>
  <c r="D81" i="41"/>
  <c r="W39" i="23" s="1"/>
  <c r="D80" i="41"/>
  <c r="O39" i="23" s="1"/>
  <c r="D78" i="41"/>
  <c r="AV41" i="23" s="1"/>
  <c r="D77" i="41"/>
  <c r="AM41" i="23" s="1"/>
  <c r="D76" i="41"/>
  <c r="AE41" i="23" s="1"/>
  <c r="D75" i="41"/>
  <c r="W41" i="23" s="1"/>
  <c r="D74" i="41"/>
  <c r="O41" i="23" s="1"/>
  <c r="D73" i="41"/>
  <c r="G41" i="23" s="1"/>
  <c r="G39" i="23"/>
  <c r="D71" i="41"/>
  <c r="AM39" i="23" s="1"/>
  <c r="D68" i="41"/>
  <c r="AE37" i="23" s="1"/>
  <c r="D67" i="41"/>
  <c r="W37" i="23" s="1"/>
  <c r="D66" i="41"/>
  <c r="BU21" i="41"/>
  <c r="BW21" i="41"/>
  <c r="BX21" i="41"/>
  <c r="BY21" i="41"/>
  <c r="BZ21" i="41"/>
  <c r="BU22" i="41"/>
  <c r="BV22" i="41"/>
  <c r="BX22" i="41"/>
  <c r="BY22" i="41"/>
  <c r="BZ22" i="41"/>
  <c r="BU23" i="41"/>
  <c r="BV23" i="41"/>
  <c r="BW23" i="41"/>
  <c r="BY23" i="41"/>
  <c r="BZ23" i="41"/>
  <c r="BU24" i="41"/>
  <c r="BV24" i="41"/>
  <c r="BW24" i="41"/>
  <c r="BX24" i="41"/>
  <c r="BY24" i="41"/>
  <c r="BZ24" i="41"/>
  <c r="BU25" i="41"/>
  <c r="BV25" i="41"/>
  <c r="BW25" i="41"/>
  <c r="BX25" i="41"/>
  <c r="BY25" i="41"/>
  <c r="BZ25" i="41"/>
  <c r="BU26" i="41"/>
  <c r="BV26" i="41"/>
  <c r="BW26" i="41"/>
  <c r="BX26" i="41"/>
  <c r="BZ26" i="41"/>
  <c r="BV27" i="41"/>
  <c r="BW27" i="41"/>
  <c r="BX27" i="41"/>
  <c r="BY27" i="41"/>
  <c r="BV28" i="41"/>
  <c r="BW28" i="41"/>
  <c r="BX28" i="41"/>
  <c r="BY28" i="41"/>
  <c r="BZ28" i="41"/>
  <c r="BU29" i="41"/>
  <c r="BV29" i="41"/>
  <c r="BW29" i="41"/>
  <c r="BX29" i="41"/>
  <c r="BY29" i="41"/>
  <c r="BZ29" i="41"/>
  <c r="BW30" i="41"/>
  <c r="BX30" i="41"/>
  <c r="BY30" i="41"/>
  <c r="BZ30" i="41"/>
  <c r="BU31" i="41"/>
  <c r="BV31" i="41"/>
  <c r="BW31" i="41"/>
  <c r="BX31" i="41"/>
  <c r="BY31" i="41"/>
  <c r="BZ31" i="41"/>
  <c r="BU32" i="41"/>
  <c r="BV32" i="41"/>
  <c r="BW32" i="41"/>
  <c r="BX32" i="41"/>
  <c r="BY32" i="41"/>
  <c r="BZ32" i="41"/>
  <c r="BU33" i="41"/>
  <c r="BV33" i="41"/>
  <c r="BW33" i="41"/>
  <c r="BX33" i="41"/>
  <c r="BY33" i="41"/>
  <c r="BZ33" i="41"/>
  <c r="BU34" i="41"/>
  <c r="BW34" i="41"/>
  <c r="BX34" i="41"/>
  <c r="BY34" i="41"/>
  <c r="BU35" i="41"/>
  <c r="BV35" i="41"/>
  <c r="BW35" i="41"/>
  <c r="BX35" i="41"/>
  <c r="BY35" i="41"/>
  <c r="BZ35" i="41"/>
  <c r="BU36" i="41"/>
  <c r="BV36" i="41"/>
  <c r="BW36" i="41"/>
  <c r="BX36" i="41"/>
  <c r="BY36" i="41"/>
  <c r="BZ36" i="41"/>
  <c r="BU37" i="41"/>
  <c r="BW37" i="41"/>
  <c r="BX37" i="41"/>
  <c r="BY37" i="41"/>
  <c r="BZ37" i="41"/>
  <c r="BU38" i="41"/>
  <c r="BV38" i="41"/>
  <c r="BW38" i="41"/>
  <c r="BX38" i="41"/>
  <c r="BY38" i="41"/>
  <c r="BZ38" i="41"/>
  <c r="BU39" i="41"/>
  <c r="BV39" i="41"/>
  <c r="BW39" i="41"/>
  <c r="BX39" i="41"/>
  <c r="BY39" i="41"/>
  <c r="BZ39" i="41"/>
  <c r="BU40" i="41"/>
  <c r="BV40" i="41"/>
  <c r="BW40" i="41"/>
  <c r="BX40" i="41"/>
  <c r="BY40" i="41"/>
  <c r="BZ40" i="41"/>
  <c r="BU41" i="41"/>
  <c r="BV41" i="41"/>
  <c r="BX41" i="41"/>
  <c r="BY41" i="41"/>
  <c r="BZ41" i="41"/>
  <c r="BU42" i="41"/>
  <c r="BV42" i="41"/>
  <c r="BW42" i="41"/>
  <c r="BX42" i="41"/>
  <c r="BY42" i="41"/>
  <c r="BZ42" i="41"/>
  <c r="BU43" i="41"/>
  <c r="BV43" i="41"/>
  <c r="BW43" i="41"/>
  <c r="BX43" i="41"/>
  <c r="BY43" i="41"/>
  <c r="BZ43" i="41"/>
  <c r="BV44" i="41"/>
  <c r="BY44" i="41"/>
  <c r="BZ44" i="41"/>
  <c r="BU45" i="41"/>
  <c r="BV45" i="41"/>
  <c r="BW45" i="41"/>
  <c r="BX45" i="41"/>
  <c r="BY45" i="41"/>
  <c r="BZ45" i="41"/>
  <c r="BU46" i="41"/>
  <c r="BV46" i="41"/>
  <c r="BW46" i="41"/>
  <c r="BX46" i="41"/>
  <c r="BY46" i="41"/>
  <c r="BZ46" i="41"/>
  <c r="BU47" i="41"/>
  <c r="BV47" i="41"/>
  <c r="BW47" i="41"/>
  <c r="BX47" i="41"/>
  <c r="BY47" i="41"/>
  <c r="BZ47" i="41"/>
  <c r="BU48" i="41"/>
  <c r="BV48" i="41"/>
  <c r="BW48" i="41"/>
  <c r="BY48" i="41"/>
  <c r="BZ48" i="41"/>
  <c r="BU49" i="41"/>
  <c r="BV49" i="41"/>
  <c r="BW49" i="41"/>
  <c r="BY49" i="41"/>
  <c r="BZ49" i="41"/>
  <c r="BU50" i="41"/>
  <c r="BW50" i="41"/>
  <c r="BY50" i="41"/>
  <c r="BZ50" i="41"/>
  <c r="BZ20" i="41"/>
  <c r="BY20" i="41"/>
  <c r="BX20" i="41"/>
  <c r="BW20" i="41"/>
  <c r="BV20" i="41"/>
  <c r="BP21" i="41"/>
  <c r="BS21" i="41"/>
  <c r="BT21" i="41"/>
  <c r="BP22" i="41"/>
  <c r="BS22" i="41"/>
  <c r="BT22" i="41"/>
  <c r="BP23" i="41"/>
  <c r="BS23" i="41"/>
  <c r="BT23" i="41"/>
  <c r="BP24" i="41"/>
  <c r="BS24" i="41"/>
  <c r="BT24" i="41"/>
  <c r="BP25" i="41"/>
  <c r="BS25" i="41"/>
  <c r="BT25" i="41"/>
  <c r="BP26" i="41"/>
  <c r="BS26" i="41"/>
  <c r="BT26" i="41"/>
  <c r="BP27" i="41"/>
  <c r="BS27" i="41"/>
  <c r="BT27" i="41"/>
  <c r="BP28" i="41"/>
  <c r="BS28" i="41"/>
  <c r="BT28" i="41"/>
  <c r="BP29" i="41"/>
  <c r="BS29" i="41"/>
  <c r="BT29" i="41"/>
  <c r="BP30" i="41"/>
  <c r="BS30" i="41"/>
  <c r="BT30" i="41"/>
  <c r="BP31" i="41"/>
  <c r="BS31" i="41"/>
  <c r="BT31" i="41"/>
  <c r="BP32" i="41"/>
  <c r="BS32" i="41"/>
  <c r="BT32" i="41"/>
  <c r="BP33" i="41"/>
  <c r="BS33" i="41"/>
  <c r="BT33" i="41"/>
  <c r="BP34" i="41"/>
  <c r="BS34" i="41"/>
  <c r="BT34" i="41"/>
  <c r="BP35" i="41"/>
  <c r="BS35" i="41"/>
  <c r="BT35" i="41"/>
  <c r="BP36" i="41"/>
  <c r="BS36" i="41"/>
  <c r="BT36" i="41"/>
  <c r="BP37" i="41"/>
  <c r="BS37" i="41"/>
  <c r="BT37" i="41"/>
  <c r="BP38" i="41"/>
  <c r="BS38" i="41"/>
  <c r="BT38" i="41"/>
  <c r="BP39" i="41"/>
  <c r="BS39" i="41"/>
  <c r="BT39" i="41"/>
  <c r="BP40" i="41"/>
  <c r="BS40" i="41"/>
  <c r="BT40" i="41"/>
  <c r="BP41" i="41"/>
  <c r="BS41" i="41"/>
  <c r="BT41" i="41"/>
  <c r="BP42" i="41"/>
  <c r="BS42" i="41"/>
  <c r="BT42" i="41"/>
  <c r="BP43" i="41"/>
  <c r="BS43" i="41"/>
  <c r="BT43" i="41"/>
  <c r="BP44" i="41"/>
  <c r="BS44" i="41"/>
  <c r="BT44" i="41"/>
  <c r="BP45" i="41"/>
  <c r="BS45" i="41"/>
  <c r="BT45" i="41"/>
  <c r="BP46" i="41"/>
  <c r="BS46" i="41"/>
  <c r="BT46" i="41"/>
  <c r="BP47" i="41"/>
  <c r="BS47" i="41"/>
  <c r="BT47" i="41"/>
  <c r="BP48" i="41"/>
  <c r="BS48" i="41"/>
  <c r="BT48" i="41"/>
  <c r="BP49" i="41"/>
  <c r="BS49" i="41"/>
  <c r="BT49" i="41"/>
  <c r="BP50" i="41"/>
  <c r="BS50" i="41"/>
  <c r="BT50" i="41"/>
  <c r="BT20" i="41"/>
  <c r="BS20" i="41"/>
  <c r="AI20" i="41"/>
  <c r="AH20" i="41"/>
  <c r="AG20" i="41"/>
  <c r="AF20" i="41"/>
  <c r="AE20" i="41"/>
  <c r="AB20" i="41"/>
  <c r="AA20" i="41"/>
  <c r="X20" i="41"/>
  <c r="BO29" i="92" l="1"/>
  <c r="DB30" i="90"/>
  <c r="CT30" i="90"/>
  <c r="CL30" i="90"/>
  <c r="CC30" i="90"/>
  <c r="DA30" i="90"/>
  <c r="CS30" i="90"/>
  <c r="CK30" i="90"/>
  <c r="CB30" i="90"/>
  <c r="CZ30" i="90"/>
  <c r="CR30" i="90"/>
  <c r="CJ30" i="90"/>
  <c r="CA30" i="90"/>
  <c r="CY30" i="90"/>
  <c r="CQ30" i="90"/>
  <c r="CH30" i="90"/>
  <c r="CU30" i="90"/>
  <c r="CD30" i="90"/>
  <c r="CP30" i="90"/>
  <c r="CO30" i="90"/>
  <c r="DD30" i="90"/>
  <c r="CN30" i="90"/>
  <c r="DC30" i="90"/>
  <c r="CM30" i="90"/>
  <c r="CX30" i="90"/>
  <c r="CG30" i="90"/>
  <c r="CW30" i="90"/>
  <c r="CF30" i="90"/>
  <c r="CV30" i="90"/>
  <c r="CE30" i="90"/>
  <c r="BM30" i="90"/>
  <c r="BE30" i="90"/>
  <c r="AW30" i="90"/>
  <c r="AN30" i="90"/>
  <c r="BL30" i="90"/>
  <c r="BD30" i="90"/>
  <c r="AV30" i="90"/>
  <c r="AM30" i="90"/>
  <c r="BK30" i="90"/>
  <c r="BC30" i="90"/>
  <c r="AU30" i="90"/>
  <c r="AL30" i="90"/>
  <c r="AX30" i="90"/>
  <c r="BJ30" i="90"/>
  <c r="BB30" i="90"/>
  <c r="AT30" i="90"/>
  <c r="AK30" i="90"/>
  <c r="AO30" i="90"/>
  <c r="BI30" i="90"/>
  <c r="BA30" i="90"/>
  <c r="AS30" i="90"/>
  <c r="AJ30" i="90"/>
  <c r="BF30" i="90"/>
  <c r="BH30" i="90"/>
  <c r="AZ30" i="90"/>
  <c r="AQ30" i="90"/>
  <c r="BG30" i="90"/>
  <c r="AY30" i="90"/>
  <c r="AP30" i="90"/>
  <c r="CI30" i="90"/>
  <c r="AR30" i="90"/>
  <c r="CW29" i="93"/>
  <c r="CO29" i="93"/>
  <c r="CG29" i="93"/>
  <c r="DB29" i="93"/>
  <c r="CT29" i="93"/>
  <c r="CL29" i="93"/>
  <c r="CD29" i="93"/>
  <c r="CV29" i="93"/>
  <c r="CK29" i="93"/>
  <c r="CA29" i="93"/>
  <c r="CU29" i="93"/>
  <c r="CJ29" i="93"/>
  <c r="DD29" i="93"/>
  <c r="CS29" i="93"/>
  <c r="CI29" i="93"/>
  <c r="DC29" i="93"/>
  <c r="CR29" i="93"/>
  <c r="CH29" i="93"/>
  <c r="DA29" i="93"/>
  <c r="CQ29" i="93"/>
  <c r="CF29" i="93"/>
  <c r="CZ29" i="93"/>
  <c r="CP29" i="93"/>
  <c r="CE29" i="93"/>
  <c r="CY29" i="93"/>
  <c r="CN29" i="93"/>
  <c r="CC29" i="93"/>
  <c r="CX29" i="93"/>
  <c r="CM29" i="93"/>
  <c r="CB29" i="93"/>
  <c r="BF29" i="93"/>
  <c r="AX29" i="93"/>
  <c r="AP29" i="93"/>
  <c r="BM29" i="93"/>
  <c r="BE29" i="93"/>
  <c r="AW29" i="93"/>
  <c r="AO29" i="93"/>
  <c r="BL29" i="93"/>
  <c r="BD29" i="93"/>
  <c r="AV29" i="93"/>
  <c r="AN29" i="93"/>
  <c r="BJ29" i="93"/>
  <c r="BB29" i="93"/>
  <c r="AT29" i="93"/>
  <c r="AL29" i="93"/>
  <c r="BH29" i="93"/>
  <c r="AZ29" i="93"/>
  <c r="AR29" i="93"/>
  <c r="AJ29" i="93"/>
  <c r="BG29" i="93"/>
  <c r="AY29" i="93"/>
  <c r="AQ29" i="93"/>
  <c r="AM29" i="93"/>
  <c r="AK29" i="93"/>
  <c r="BK29" i="93"/>
  <c r="BI29" i="93"/>
  <c r="BC29" i="93"/>
  <c r="BA29" i="93"/>
  <c r="AU29" i="93"/>
  <c r="AS29" i="93"/>
  <c r="BN29" i="92"/>
  <c r="CF29" i="88"/>
  <c r="CN29" i="88"/>
  <c r="CV29" i="88"/>
  <c r="DD29" i="88"/>
  <c r="CG29" i="88"/>
  <c r="CO29" i="88"/>
  <c r="CW29" i="88"/>
  <c r="CH29" i="88"/>
  <c r="CP29" i="88"/>
  <c r="CX29" i="88"/>
  <c r="CA29" i="88"/>
  <c r="CI29" i="88"/>
  <c r="CQ29" i="88"/>
  <c r="CY29" i="88"/>
  <c r="CB29" i="88"/>
  <c r="CJ29" i="88"/>
  <c r="CR29" i="88"/>
  <c r="CZ29" i="88"/>
  <c r="CC29" i="88"/>
  <c r="CK29" i="88"/>
  <c r="CS29" i="88"/>
  <c r="DA29" i="88"/>
  <c r="CD29" i="88"/>
  <c r="CL29" i="88"/>
  <c r="CT29" i="88"/>
  <c r="DB29" i="88"/>
  <c r="CE29" i="88"/>
  <c r="CM29" i="88"/>
  <c r="CU29" i="88"/>
  <c r="DC29" i="88"/>
  <c r="AN29" i="88"/>
  <c r="AV29" i="88"/>
  <c r="BD29" i="88"/>
  <c r="BL29" i="88"/>
  <c r="AO29" i="88"/>
  <c r="AW29" i="88"/>
  <c r="BE29" i="88"/>
  <c r="BM29" i="88"/>
  <c r="AP29" i="88"/>
  <c r="AX29" i="88"/>
  <c r="BF29" i="88"/>
  <c r="AQ29" i="88"/>
  <c r="AY29" i="88"/>
  <c r="BG29" i="88"/>
  <c r="AJ29" i="88"/>
  <c r="AR29" i="88"/>
  <c r="AZ29" i="88"/>
  <c r="BH29" i="88"/>
  <c r="AK29" i="88"/>
  <c r="AS29" i="88"/>
  <c r="BA29" i="88"/>
  <c r="BI29" i="88"/>
  <c r="AL29" i="88"/>
  <c r="AT29" i="88"/>
  <c r="BB29" i="88"/>
  <c r="BJ29" i="88"/>
  <c r="AM29" i="88"/>
  <c r="AU29" i="88"/>
  <c r="BC29" i="88"/>
  <c r="BK29" i="88"/>
  <c r="BL30" i="91"/>
  <c r="BE30" i="91"/>
  <c r="AW30" i="91"/>
  <c r="AO30" i="91"/>
  <c r="BM30" i="91"/>
  <c r="BD30" i="91"/>
  <c r="AV30" i="91"/>
  <c r="AN30" i="91"/>
  <c r="BK30" i="91"/>
  <c r="BC30" i="91"/>
  <c r="AU30" i="91"/>
  <c r="AM30" i="91"/>
  <c r="BJ30" i="91"/>
  <c r="BB30" i="91"/>
  <c r="AT30" i="91"/>
  <c r="AL30" i="91"/>
  <c r="BI30" i="91"/>
  <c r="BA30" i="91"/>
  <c r="AS30" i="91"/>
  <c r="AK30" i="91"/>
  <c r="BH30" i="91"/>
  <c r="AZ30" i="91"/>
  <c r="AR30" i="91"/>
  <c r="AJ30" i="91"/>
  <c r="BG30" i="91"/>
  <c r="AY30" i="91"/>
  <c r="AQ30" i="91"/>
  <c r="CW30" i="91"/>
  <c r="CO30" i="91"/>
  <c r="CG30" i="91"/>
  <c r="BF30" i="91"/>
  <c r="AX30" i="91"/>
  <c r="DC30" i="91"/>
  <c r="CU30" i="91"/>
  <c r="CM30" i="91"/>
  <c r="CE30" i="91"/>
  <c r="AP30" i="91"/>
  <c r="CY30" i="91"/>
  <c r="CN30" i="91"/>
  <c r="CC30" i="91"/>
  <c r="CX30" i="91"/>
  <c r="CL30" i="91"/>
  <c r="CB30" i="91"/>
  <c r="CT30" i="91"/>
  <c r="CJ30" i="91"/>
  <c r="DD30" i="91"/>
  <c r="CS30" i="91"/>
  <c r="CI30" i="91"/>
  <c r="DB30" i="91"/>
  <c r="CR30" i="91"/>
  <c r="CH30" i="91"/>
  <c r="DA30" i="91"/>
  <c r="CQ30" i="91"/>
  <c r="CF30" i="91"/>
  <c r="CK30" i="91"/>
  <c r="CD30" i="91"/>
  <c r="CA30" i="91"/>
  <c r="CZ30" i="91"/>
  <c r="CV30" i="91"/>
  <c r="CP30" i="91"/>
  <c r="DA29" i="89"/>
  <c r="CS29" i="89"/>
  <c r="CK29" i="89"/>
  <c r="CC29" i="89"/>
  <c r="CZ29" i="89"/>
  <c r="CR29" i="89"/>
  <c r="CJ29" i="89"/>
  <c r="CB29" i="89"/>
  <c r="CY29" i="89"/>
  <c r="CQ29" i="89"/>
  <c r="CI29" i="89"/>
  <c r="CA29" i="89"/>
  <c r="CX29" i="89"/>
  <c r="CP29" i="89"/>
  <c r="CH29" i="89"/>
  <c r="DD29" i="89"/>
  <c r="CV29" i="89"/>
  <c r="CN29" i="89"/>
  <c r="CF29" i="89"/>
  <c r="DC29" i="89"/>
  <c r="CU29" i="89"/>
  <c r="CM29" i="89"/>
  <c r="CE29" i="89"/>
  <c r="DB29" i="89"/>
  <c r="CT29" i="89"/>
  <c r="CL29" i="89"/>
  <c r="CD29" i="89"/>
  <c r="CW29" i="89"/>
  <c r="CO29" i="89"/>
  <c r="CG29" i="89"/>
  <c r="BK29" i="89"/>
  <c r="BC29" i="89"/>
  <c r="AU29" i="89"/>
  <c r="AM29" i="89"/>
  <c r="BJ29" i="89"/>
  <c r="BB29" i="89"/>
  <c r="AT29" i="89"/>
  <c r="AL29" i="89"/>
  <c r="BI29" i="89"/>
  <c r="BA29" i="89"/>
  <c r="AS29" i="89"/>
  <c r="AK29" i="89"/>
  <c r="BH29" i="89"/>
  <c r="AZ29" i="89"/>
  <c r="AR29" i="89"/>
  <c r="AJ29" i="89"/>
  <c r="BG29" i="89"/>
  <c r="AY29" i="89"/>
  <c r="AQ29" i="89"/>
  <c r="BF29" i="89"/>
  <c r="AX29" i="89"/>
  <c r="AP29" i="89"/>
  <c r="BM29" i="89"/>
  <c r="BE29" i="89"/>
  <c r="AW29" i="89"/>
  <c r="AO29" i="89"/>
  <c r="BD29" i="89"/>
  <c r="AV29" i="89"/>
  <c r="AN29" i="89"/>
  <c r="BL29" i="89"/>
  <c r="CZ30" i="92"/>
  <c r="CR30" i="92"/>
  <c r="CJ30" i="92"/>
  <c r="CA30" i="92"/>
  <c r="CY30" i="92"/>
  <c r="CQ30" i="92"/>
  <c r="CI30" i="92"/>
  <c r="CX30" i="92"/>
  <c r="CP30" i="92"/>
  <c r="CH30" i="92"/>
  <c r="CW30" i="92"/>
  <c r="CO30" i="92"/>
  <c r="CF30" i="92"/>
  <c r="DD30" i="92"/>
  <c r="CV30" i="92"/>
  <c r="CN30" i="92"/>
  <c r="CE30" i="92"/>
  <c r="DC30" i="92"/>
  <c r="CU30" i="92"/>
  <c r="CM30" i="92"/>
  <c r="CD30" i="92"/>
  <c r="DB30" i="92"/>
  <c r="CT30" i="92"/>
  <c r="CL30" i="92"/>
  <c r="CC30" i="92"/>
  <c r="DA30" i="92"/>
  <c r="CS30" i="92"/>
  <c r="CK30" i="92"/>
  <c r="CB30" i="92"/>
  <c r="BG30" i="92"/>
  <c r="AY30" i="92"/>
  <c r="AQ30" i="92"/>
  <c r="AZ30" i="92"/>
  <c r="BF30" i="92"/>
  <c r="AX30" i="92"/>
  <c r="AO30" i="92"/>
  <c r="BM30" i="92"/>
  <c r="BE30" i="92"/>
  <c r="AW30" i="92"/>
  <c r="AN30" i="92"/>
  <c r="BL30" i="92"/>
  <c r="BD30" i="92"/>
  <c r="AV30" i="92"/>
  <c r="AM30" i="92"/>
  <c r="AR30" i="92"/>
  <c r="BK30" i="92"/>
  <c r="BC30" i="92"/>
  <c r="AU30" i="92"/>
  <c r="AL30" i="92"/>
  <c r="BH30" i="92"/>
  <c r="BJ30" i="92"/>
  <c r="BB30" i="92"/>
  <c r="AT30" i="92"/>
  <c r="AK30" i="92"/>
  <c r="BI30" i="92"/>
  <c r="BA30" i="92"/>
  <c r="AS30" i="92"/>
  <c r="AJ30" i="92"/>
  <c r="AP30" i="92"/>
  <c r="CG30" i="92"/>
  <c r="DC30" i="87"/>
  <c r="CU30" i="87"/>
  <c r="CM30" i="87"/>
  <c r="CE30" i="87"/>
  <c r="DB30" i="87"/>
  <c r="CT30" i="87"/>
  <c r="CL30" i="87"/>
  <c r="CD30" i="87"/>
  <c r="DA30" i="87"/>
  <c r="CS30" i="87"/>
  <c r="CK30" i="87"/>
  <c r="CC30" i="87"/>
  <c r="CZ30" i="87"/>
  <c r="CR30" i="87"/>
  <c r="CJ30" i="87"/>
  <c r="CB30" i="87"/>
  <c r="CY30" i="87"/>
  <c r="CQ30" i="87"/>
  <c r="CI30" i="87"/>
  <c r="CA30" i="87"/>
  <c r="CX30" i="87"/>
  <c r="CP30" i="87"/>
  <c r="CH30" i="87"/>
  <c r="CW30" i="87"/>
  <c r="CO30" i="87"/>
  <c r="CG30" i="87"/>
  <c r="DD30" i="87"/>
  <c r="CV30" i="87"/>
  <c r="CN30" i="87"/>
  <c r="CF30" i="87"/>
  <c r="BM30" i="87"/>
  <c r="BE30" i="87"/>
  <c r="AW30" i="87"/>
  <c r="AO30" i="87"/>
  <c r="BL30" i="87"/>
  <c r="BD30" i="87"/>
  <c r="AV30" i="87"/>
  <c r="AN30" i="87"/>
  <c r="BK30" i="87"/>
  <c r="BC30" i="87"/>
  <c r="AU30" i="87"/>
  <c r="AM30" i="87"/>
  <c r="BJ30" i="87"/>
  <c r="BB30" i="87"/>
  <c r="AT30" i="87"/>
  <c r="AL30" i="87"/>
  <c r="BI30" i="87"/>
  <c r="BA30" i="87"/>
  <c r="AS30" i="87"/>
  <c r="AK30" i="87"/>
  <c r="BG30" i="87"/>
  <c r="AJ30" i="87"/>
  <c r="BF30" i="87"/>
  <c r="AZ30" i="87"/>
  <c r="AY30" i="87"/>
  <c r="AX30" i="87"/>
  <c r="AR30" i="87"/>
  <c r="AQ30" i="87"/>
  <c r="BH30" i="87"/>
  <c r="AP30" i="87"/>
  <c r="CX29" i="84"/>
  <c r="CP29" i="84"/>
  <c r="CH29" i="84"/>
  <c r="DB29" i="84"/>
  <c r="CS29" i="84"/>
  <c r="CJ29" i="84"/>
  <c r="CA29" i="84"/>
  <c r="CZ29" i="84"/>
  <c r="CQ29" i="84"/>
  <c r="CG29" i="84"/>
  <c r="DD29" i="84"/>
  <c r="CR29" i="84"/>
  <c r="CE29" i="84"/>
  <c r="DC29" i="84"/>
  <c r="CO29" i="84"/>
  <c r="CD29" i="84"/>
  <c r="DA29" i="84"/>
  <c r="CN29" i="84"/>
  <c r="CC29" i="84"/>
  <c r="CY29" i="84"/>
  <c r="CM29" i="84"/>
  <c r="CB29" i="84"/>
  <c r="CW29" i="84"/>
  <c r="CL29" i="84"/>
  <c r="CK29" i="84"/>
  <c r="CI29" i="84"/>
  <c r="CF29" i="84"/>
  <c r="CV29" i="84"/>
  <c r="CU29" i="84"/>
  <c r="CT29" i="84"/>
  <c r="BF29" i="84"/>
  <c r="AX29" i="84"/>
  <c r="AP29" i="84"/>
  <c r="BM29" i="84"/>
  <c r="BE29" i="84"/>
  <c r="AW29" i="84"/>
  <c r="AO29" i="84"/>
  <c r="BL29" i="84"/>
  <c r="BD29" i="84"/>
  <c r="AV29" i="84"/>
  <c r="AN29" i="84"/>
  <c r="BK29" i="84"/>
  <c r="BC29" i="84"/>
  <c r="AU29" i="84"/>
  <c r="AM29" i="84"/>
  <c r="BJ29" i="84"/>
  <c r="BB29" i="84"/>
  <c r="AT29" i="84"/>
  <c r="AL29" i="84"/>
  <c r="BI29" i="84"/>
  <c r="BA29" i="84"/>
  <c r="AS29" i="84"/>
  <c r="AK29" i="84"/>
  <c r="BH29" i="84"/>
  <c r="AZ29" i="84"/>
  <c r="AR29" i="84"/>
  <c r="AJ29" i="84"/>
  <c r="BG29" i="84"/>
  <c r="AY29" i="84"/>
  <c r="AQ29" i="84"/>
  <c r="CY30" i="86"/>
  <c r="CQ30" i="86"/>
  <c r="CI30" i="86"/>
  <c r="CX30" i="86"/>
  <c r="CP30" i="86"/>
  <c r="CH30" i="86"/>
  <c r="CW30" i="86"/>
  <c r="CO30" i="86"/>
  <c r="DD30" i="86"/>
  <c r="CS30" i="86"/>
  <c r="CF30" i="86"/>
  <c r="DC30" i="86"/>
  <c r="CR30" i="86"/>
  <c r="CE30" i="86"/>
  <c r="DB30" i="86"/>
  <c r="CN30" i="86"/>
  <c r="CD30" i="86"/>
  <c r="DA30" i="86"/>
  <c r="CM30" i="86"/>
  <c r="CC30" i="86"/>
  <c r="CZ30" i="86"/>
  <c r="CL30" i="86"/>
  <c r="CA30" i="86"/>
  <c r="CV30" i="86"/>
  <c r="CK30" i="86"/>
  <c r="CG30" i="86"/>
  <c r="CU30" i="86"/>
  <c r="CT30" i="86"/>
  <c r="CJ30" i="86"/>
  <c r="BM30" i="86"/>
  <c r="BE30" i="86"/>
  <c r="AW30" i="86"/>
  <c r="AO30" i="86"/>
  <c r="BK30" i="86"/>
  <c r="BB30" i="86"/>
  <c r="AS30" i="86"/>
  <c r="BJ30" i="86"/>
  <c r="BA30" i="86"/>
  <c r="AR30" i="86"/>
  <c r="BI30" i="86"/>
  <c r="AZ30" i="86"/>
  <c r="AQ30" i="86"/>
  <c r="BH30" i="86"/>
  <c r="AY30" i="86"/>
  <c r="AP30" i="86"/>
  <c r="BG30" i="86"/>
  <c r="AX30" i="86"/>
  <c r="AN30" i="86"/>
  <c r="BF30" i="86"/>
  <c r="AV30" i="86"/>
  <c r="AM30" i="86"/>
  <c r="BD30" i="86"/>
  <c r="AU30" i="86"/>
  <c r="AL30" i="86"/>
  <c r="BL30" i="86"/>
  <c r="BC30" i="86"/>
  <c r="AT30" i="86"/>
  <c r="AJ30" i="86"/>
  <c r="AP29" i="83"/>
  <c r="AX29" i="83"/>
  <c r="BF29" i="83"/>
  <c r="CD29" i="83"/>
  <c r="CL29" i="83"/>
  <c r="CT29" i="83"/>
  <c r="DB29" i="83"/>
  <c r="CN29" i="83"/>
  <c r="AQ29" i="83"/>
  <c r="AY29" i="83"/>
  <c r="BG29" i="83"/>
  <c r="CE29" i="83"/>
  <c r="CM29" i="83"/>
  <c r="CU29" i="83"/>
  <c r="DC29" i="83"/>
  <c r="CF29" i="83"/>
  <c r="CV29" i="83"/>
  <c r="AR29" i="83"/>
  <c r="AZ29" i="83"/>
  <c r="BH29" i="83"/>
  <c r="DD29" i="83"/>
  <c r="AK29" i="83"/>
  <c r="AS29" i="83"/>
  <c r="BA29" i="83"/>
  <c r="BI29" i="83"/>
  <c r="CG29" i="83"/>
  <c r="CO29" i="83"/>
  <c r="CW29" i="83"/>
  <c r="CH29" i="83"/>
  <c r="CX29" i="83"/>
  <c r="AL29" i="83"/>
  <c r="AT29" i="83"/>
  <c r="BB29" i="83"/>
  <c r="BJ29" i="83"/>
  <c r="CP29" i="83"/>
  <c r="BD29" i="83"/>
  <c r="CS29" i="83"/>
  <c r="AM29" i="83"/>
  <c r="BE29" i="83"/>
  <c r="CB29" i="83"/>
  <c r="CY29" i="83"/>
  <c r="AN29" i="83"/>
  <c r="BK29" i="83"/>
  <c r="CC29" i="83"/>
  <c r="CZ29" i="83"/>
  <c r="AO29" i="83"/>
  <c r="BL29" i="83"/>
  <c r="CI29" i="83"/>
  <c r="DA29" i="83"/>
  <c r="AU29" i="83"/>
  <c r="BM29" i="83"/>
  <c r="CJ29" i="83"/>
  <c r="AV29" i="83"/>
  <c r="CK29" i="83"/>
  <c r="AW29" i="83"/>
  <c r="CQ29" i="83"/>
  <c r="BC29" i="83"/>
  <c r="CR29" i="83"/>
  <c r="AJ29" i="83"/>
  <c r="DA29" i="85"/>
  <c r="CS29" i="85"/>
  <c r="CK29" i="85"/>
  <c r="CC29" i="85"/>
  <c r="CZ29" i="85"/>
  <c r="CR29" i="85"/>
  <c r="CJ29" i="85"/>
  <c r="CB29" i="85"/>
  <c r="CU29" i="85"/>
  <c r="CI29" i="85"/>
  <c r="DD29" i="85"/>
  <c r="CT29" i="85"/>
  <c r="CH29" i="85"/>
  <c r="DC29" i="85"/>
  <c r="CQ29" i="85"/>
  <c r="CG29" i="85"/>
  <c r="DB29" i="85"/>
  <c r="CP29" i="85"/>
  <c r="CF29" i="85"/>
  <c r="CY29" i="85"/>
  <c r="CO29" i="85"/>
  <c r="CE29" i="85"/>
  <c r="CX29" i="85"/>
  <c r="CN29" i="85"/>
  <c r="CD29" i="85"/>
  <c r="CW29" i="85"/>
  <c r="CM29" i="85"/>
  <c r="CA29" i="85"/>
  <c r="CV29" i="85"/>
  <c r="CL29" i="85"/>
  <c r="BL29" i="85"/>
  <c r="BD29" i="85"/>
  <c r="AV29" i="85"/>
  <c r="AN29" i="85"/>
  <c r="BK29" i="85"/>
  <c r="BC29" i="85"/>
  <c r="AU29" i="85"/>
  <c r="AM29" i="85"/>
  <c r="BJ29" i="85"/>
  <c r="BB29" i="85"/>
  <c r="AT29" i="85"/>
  <c r="AL29" i="85"/>
  <c r="BI29" i="85"/>
  <c r="BA29" i="85"/>
  <c r="AS29" i="85"/>
  <c r="AK29" i="85"/>
  <c r="BH29" i="85"/>
  <c r="AZ29" i="85"/>
  <c r="AR29" i="85"/>
  <c r="AJ29" i="85"/>
  <c r="BG29" i="85"/>
  <c r="AY29" i="85"/>
  <c r="AQ29" i="85"/>
  <c r="BF29" i="85"/>
  <c r="AX29" i="85"/>
  <c r="AP29" i="85"/>
  <c r="BM29" i="85"/>
  <c r="BE29" i="85"/>
  <c r="AW29" i="85"/>
  <c r="AO29" i="85"/>
  <c r="A19" i="95"/>
  <c r="BG29" i="43"/>
  <c r="A18" i="47"/>
  <c r="Q28" i="43"/>
  <c r="A18" i="48"/>
  <c r="AS28" i="43"/>
  <c r="A18" i="49"/>
  <c r="AE28" i="43"/>
  <c r="J28" i="1"/>
  <c r="AV39" i="23"/>
  <c r="DE28" i="83"/>
  <c r="O37" i="23"/>
  <c r="X17" i="23"/>
  <c r="AD17" i="24" s="1"/>
  <c r="T17" i="23"/>
  <c r="Y17" i="24" s="1"/>
  <c r="P16" i="23"/>
  <c r="T16" i="24" s="1"/>
  <c r="BN28" i="83"/>
  <c r="K29" i="92"/>
  <c r="AA17" i="25"/>
  <c r="D29" i="93"/>
  <c r="AT17" i="23"/>
  <c r="Z18" i="25"/>
  <c r="AS18" i="23"/>
  <c r="A31" i="93"/>
  <c r="B30" i="93"/>
  <c r="AD16" i="25"/>
  <c r="AV16" i="23"/>
  <c r="AO19" i="23"/>
  <c r="U19" i="25"/>
  <c r="AK19" i="23"/>
  <c r="P19" i="25"/>
  <c r="AC18" i="23"/>
  <c r="F18" i="25"/>
  <c r="Z19" i="24"/>
  <c r="U19" i="23"/>
  <c r="U19" i="24"/>
  <c r="Q19" i="23"/>
  <c r="M18" i="23"/>
  <c r="P18" i="24"/>
  <c r="A31" i="85"/>
  <c r="B30" i="85"/>
  <c r="N17" i="23"/>
  <c r="Q17" i="24"/>
  <c r="D29" i="85"/>
  <c r="K18" i="24"/>
  <c r="I18" i="23"/>
  <c r="E18" i="23"/>
  <c r="F18" i="24"/>
  <c r="V18" i="24"/>
  <c r="R18" i="23"/>
  <c r="L17" i="24"/>
  <c r="J17" i="23"/>
  <c r="G17" i="24"/>
  <c r="F17" i="23"/>
  <c r="J16" i="25"/>
  <c r="AF16" i="23"/>
  <c r="Q18" i="25"/>
  <c r="AL18" i="23"/>
  <c r="AA18" i="24"/>
  <c r="V18" i="23"/>
  <c r="G17" i="25"/>
  <c r="AD17" i="23"/>
  <c r="T17" i="25"/>
  <c r="AN17" i="23"/>
  <c r="V18" i="25"/>
  <c r="AP18" i="23"/>
  <c r="Y17" i="25"/>
  <c r="AR17" i="23"/>
  <c r="K19" i="25"/>
  <c r="AG19" i="23"/>
  <c r="O17" i="25"/>
  <c r="AJ17" i="23"/>
  <c r="L18" i="25"/>
  <c r="AH18" i="23"/>
  <c r="E16" i="25"/>
  <c r="AB16" i="23"/>
  <c r="B17" i="25"/>
  <c r="Z17" i="23"/>
  <c r="Y18" i="23"/>
  <c r="A18" i="25"/>
  <c r="G17" i="1"/>
  <c r="W35" i="23" s="1"/>
  <c r="H56" i="41"/>
  <c r="I55" i="41"/>
  <c r="G18" i="1"/>
  <c r="B31" i="92"/>
  <c r="A32" i="92"/>
  <c r="D30" i="92"/>
  <c r="D30" i="91"/>
  <c r="B31" i="91"/>
  <c r="A32" i="91"/>
  <c r="D30" i="90"/>
  <c r="A32" i="90"/>
  <c r="B31" i="90"/>
  <c r="B30" i="89"/>
  <c r="A31" i="89"/>
  <c r="D29" i="89"/>
  <c r="D29" i="88"/>
  <c r="B30" i="88"/>
  <c r="A31" i="88"/>
  <c r="D30" i="87"/>
  <c r="B31" i="87"/>
  <c r="A32" i="87"/>
  <c r="D30" i="86"/>
  <c r="B31" i="86"/>
  <c r="A32" i="86"/>
  <c r="B30" i="84"/>
  <c r="A31" i="84"/>
  <c r="D29" i="84"/>
  <c r="L17" i="23" s="1"/>
  <c r="O17" i="24" s="1"/>
  <c r="D29" i="83"/>
  <c r="H17" i="23" s="1"/>
  <c r="J17" i="24" s="1"/>
  <c r="A31" i="83"/>
  <c r="B30" i="83"/>
  <c r="BT51" i="41"/>
  <c r="BQ51" i="41"/>
  <c r="BP51" i="41"/>
  <c r="BS51" i="41"/>
  <c r="I46" i="82"/>
  <c r="AF41" i="41" s="1"/>
  <c r="G46" i="82"/>
  <c r="AD21" i="41"/>
  <c r="AF21" i="41"/>
  <c r="AG21" i="41"/>
  <c r="AH21" i="41"/>
  <c r="AI21" i="41"/>
  <c r="AD22" i="41"/>
  <c r="AE22" i="41"/>
  <c r="AG22" i="41"/>
  <c r="AH22" i="41"/>
  <c r="AI22" i="41"/>
  <c r="AD23" i="41"/>
  <c r="AE23" i="41"/>
  <c r="AF23" i="41"/>
  <c r="AH23" i="41"/>
  <c r="AI23" i="41"/>
  <c r="AD24" i="41"/>
  <c r="AE24" i="41"/>
  <c r="AF24" i="41"/>
  <c r="AG24" i="41"/>
  <c r="AH24" i="41"/>
  <c r="AI24" i="41"/>
  <c r="AD25" i="41"/>
  <c r="AE25" i="41"/>
  <c r="AF25" i="41"/>
  <c r="AG25" i="41"/>
  <c r="AH25" i="41"/>
  <c r="AI25" i="41"/>
  <c r="AD26" i="41"/>
  <c r="AE26" i="41"/>
  <c r="AF26" i="41"/>
  <c r="AG26" i="41"/>
  <c r="AI26" i="41"/>
  <c r="AE27" i="41"/>
  <c r="AF27" i="41"/>
  <c r="AG27" i="41"/>
  <c r="AH27" i="41"/>
  <c r="AE28" i="41"/>
  <c r="AF28" i="41"/>
  <c r="AG28" i="41"/>
  <c r="AH28" i="41"/>
  <c r="AI28" i="41"/>
  <c r="AD29" i="41"/>
  <c r="AF29" i="41"/>
  <c r="AG29" i="41"/>
  <c r="AH29" i="41"/>
  <c r="AI29" i="41"/>
  <c r="AG30" i="41"/>
  <c r="AH30" i="41"/>
  <c r="AI30" i="41"/>
  <c r="AD31" i="41"/>
  <c r="AE31" i="41"/>
  <c r="AF31" i="41"/>
  <c r="AH31" i="41"/>
  <c r="AI31" i="41"/>
  <c r="AD32" i="41"/>
  <c r="AE32" i="41"/>
  <c r="AF32" i="41"/>
  <c r="AG32" i="41"/>
  <c r="AH32" i="41"/>
  <c r="AI32" i="41"/>
  <c r="AD33" i="41"/>
  <c r="AE33" i="41"/>
  <c r="AF33" i="41"/>
  <c r="AG33" i="41"/>
  <c r="AI33" i="41"/>
  <c r="AD34" i="41"/>
  <c r="AF34" i="41"/>
  <c r="AG34" i="41"/>
  <c r="AH34" i="41"/>
  <c r="AD35" i="41"/>
  <c r="AE35" i="41"/>
  <c r="AF35" i="41"/>
  <c r="AH35" i="41"/>
  <c r="AI35" i="41"/>
  <c r="AD36" i="41"/>
  <c r="AE36" i="41"/>
  <c r="AF36" i="41"/>
  <c r="AG36" i="41"/>
  <c r="AH36" i="41"/>
  <c r="AI36" i="41"/>
  <c r="AD37" i="41"/>
  <c r="AF37" i="41"/>
  <c r="AG37" i="41"/>
  <c r="AH37" i="41"/>
  <c r="AI37" i="41"/>
  <c r="AD38" i="41"/>
  <c r="AE38" i="41"/>
  <c r="AF38" i="41"/>
  <c r="AG38" i="41"/>
  <c r="AH38" i="41"/>
  <c r="AI38" i="41"/>
  <c r="AD39" i="41"/>
  <c r="AE39" i="41"/>
  <c r="AF39" i="41"/>
  <c r="AG39" i="41"/>
  <c r="AH39" i="41"/>
  <c r="AI39" i="41"/>
  <c r="AD40" i="41"/>
  <c r="AE40" i="41"/>
  <c r="AF40" i="41"/>
  <c r="AG40" i="41"/>
  <c r="AH40" i="41"/>
  <c r="AI40" i="41"/>
  <c r="AD41" i="41"/>
  <c r="AE41" i="41"/>
  <c r="AG41" i="41"/>
  <c r="AH41" i="41"/>
  <c r="AI41" i="41"/>
  <c r="AD42" i="41"/>
  <c r="AE42" i="41"/>
  <c r="AF42" i="41"/>
  <c r="AG42" i="41"/>
  <c r="AH42" i="41"/>
  <c r="AI42" i="41"/>
  <c r="AD43" i="41"/>
  <c r="AE43" i="41"/>
  <c r="AF43" i="41"/>
  <c r="AG43" i="41"/>
  <c r="AH43" i="41"/>
  <c r="AI43" i="41"/>
  <c r="AE44" i="41"/>
  <c r="AH44" i="41"/>
  <c r="AI44" i="41"/>
  <c r="AD45" i="41"/>
  <c r="AE45" i="41"/>
  <c r="AF45" i="41"/>
  <c r="AG45" i="41"/>
  <c r="AH45" i="41"/>
  <c r="AI45" i="41"/>
  <c r="AD46" i="41"/>
  <c r="AE46" i="41"/>
  <c r="AF46" i="41"/>
  <c r="AG46" i="41"/>
  <c r="AH46" i="41"/>
  <c r="AI46" i="41"/>
  <c r="AD47" i="41"/>
  <c r="AE47" i="41"/>
  <c r="AF47" i="41"/>
  <c r="AG47" i="41"/>
  <c r="AH47" i="41"/>
  <c r="AI47" i="41"/>
  <c r="AD48" i="41"/>
  <c r="AE48" i="41"/>
  <c r="AF48" i="41"/>
  <c r="AH48" i="41"/>
  <c r="AI48" i="41"/>
  <c r="AD49" i="41"/>
  <c r="AE49" i="41"/>
  <c r="AF49" i="41"/>
  <c r="AH49" i="41"/>
  <c r="AI49" i="41"/>
  <c r="AD50" i="41"/>
  <c r="AF50" i="41"/>
  <c r="AH50" i="41"/>
  <c r="AI5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AC46" i="41"/>
  <c r="AC47" i="41"/>
  <c r="AC48" i="41"/>
  <c r="AC49" i="41"/>
  <c r="AC50" i="41"/>
  <c r="AC20" i="41"/>
  <c r="X21" i="41"/>
  <c r="Z21" i="41"/>
  <c r="AA21" i="41"/>
  <c r="AB21" i="41"/>
  <c r="X22" i="41"/>
  <c r="Z22" i="41"/>
  <c r="AA22" i="41"/>
  <c r="AB22" i="41"/>
  <c r="X23" i="41"/>
  <c r="Z23" i="41"/>
  <c r="AA23" i="41"/>
  <c r="AB23" i="41"/>
  <c r="X24" i="41"/>
  <c r="Z24" i="41"/>
  <c r="AA24" i="41"/>
  <c r="AB24" i="41"/>
  <c r="X25" i="41"/>
  <c r="Z25" i="41"/>
  <c r="AA25" i="41"/>
  <c r="AB25" i="41"/>
  <c r="X26" i="41"/>
  <c r="Z26" i="41"/>
  <c r="AA26" i="41"/>
  <c r="AB26" i="41"/>
  <c r="X27" i="41"/>
  <c r="Z27" i="41"/>
  <c r="AA27" i="41"/>
  <c r="AB27" i="41"/>
  <c r="X28" i="41"/>
  <c r="Z28" i="41"/>
  <c r="AA28" i="41"/>
  <c r="AB28" i="41"/>
  <c r="X29" i="41"/>
  <c r="Z29" i="41"/>
  <c r="AA29" i="41"/>
  <c r="AB29" i="41"/>
  <c r="X30" i="41"/>
  <c r="Z30" i="41"/>
  <c r="AA30" i="41"/>
  <c r="AB30" i="41"/>
  <c r="X31" i="41"/>
  <c r="Z31" i="41"/>
  <c r="AA31" i="41"/>
  <c r="AB31" i="41"/>
  <c r="X32" i="41"/>
  <c r="Z32" i="41"/>
  <c r="AA32" i="41"/>
  <c r="AB32" i="41"/>
  <c r="X33" i="41"/>
  <c r="Z33" i="41"/>
  <c r="AA33" i="41"/>
  <c r="AB33" i="41"/>
  <c r="X34" i="41"/>
  <c r="Z34" i="41"/>
  <c r="AA34" i="41"/>
  <c r="AB34" i="41"/>
  <c r="X35" i="41"/>
  <c r="Z35" i="41"/>
  <c r="AA35" i="41"/>
  <c r="AB35" i="41"/>
  <c r="X36" i="41"/>
  <c r="Z36" i="41"/>
  <c r="AA36" i="41"/>
  <c r="AB36" i="41"/>
  <c r="X37" i="41"/>
  <c r="Z37" i="41"/>
  <c r="AA37" i="41"/>
  <c r="AB37" i="41"/>
  <c r="X38" i="41"/>
  <c r="Z38" i="41"/>
  <c r="AA38" i="41"/>
  <c r="AB38" i="41"/>
  <c r="X39" i="41"/>
  <c r="Z39" i="41"/>
  <c r="AA39" i="41"/>
  <c r="AB39" i="41"/>
  <c r="X40" i="41"/>
  <c r="Z40" i="41"/>
  <c r="AA40" i="41"/>
  <c r="AB40" i="41"/>
  <c r="X41" i="41"/>
  <c r="Z41" i="41"/>
  <c r="AA41" i="41"/>
  <c r="AB41" i="41"/>
  <c r="X42" i="41"/>
  <c r="Z42" i="41"/>
  <c r="AA42" i="41"/>
  <c r="AB42" i="41"/>
  <c r="X43" i="41"/>
  <c r="Z43" i="41"/>
  <c r="AA43" i="41"/>
  <c r="AB43" i="41"/>
  <c r="X44" i="41"/>
  <c r="Z44" i="41"/>
  <c r="AA44" i="41"/>
  <c r="AB44" i="41"/>
  <c r="X45" i="41"/>
  <c r="Z45" i="41"/>
  <c r="AA45" i="41"/>
  <c r="AB45" i="41"/>
  <c r="X46" i="41"/>
  <c r="Z46" i="41"/>
  <c r="AA46" i="41"/>
  <c r="AB46" i="41"/>
  <c r="X47" i="41"/>
  <c r="Z47" i="41"/>
  <c r="AA47" i="41"/>
  <c r="AB47" i="41"/>
  <c r="X48" i="41"/>
  <c r="Z48" i="41"/>
  <c r="AA48" i="41"/>
  <c r="AB48" i="41"/>
  <c r="X49" i="41"/>
  <c r="Z49" i="41"/>
  <c r="AA49" i="41"/>
  <c r="AB49" i="41"/>
  <c r="X50" i="41"/>
  <c r="Z50" i="41"/>
  <c r="AA50" i="41"/>
  <c r="AB50" i="41"/>
  <c r="O46" i="82"/>
  <c r="AI34" i="41" s="1"/>
  <c r="O49" i="82"/>
  <c r="BZ27" i="41" s="1"/>
  <c r="M49" i="82"/>
  <c r="BY26" i="41" s="1"/>
  <c r="K49" i="82"/>
  <c r="I49" i="82"/>
  <c r="G49" i="82"/>
  <c r="E49" i="82"/>
  <c r="M46" i="82"/>
  <c r="AH33" i="41" s="1"/>
  <c r="K46" i="82"/>
  <c r="AG48" i="41" s="1"/>
  <c r="E46" i="82"/>
  <c r="AD27" i="41" s="1"/>
  <c r="B12" i="82"/>
  <c r="BN30" i="92" l="1"/>
  <c r="CY30" i="93"/>
  <c r="CQ30" i="93"/>
  <c r="CI30" i="93"/>
  <c r="CA30" i="93"/>
  <c r="DD30" i="93"/>
  <c r="CV30" i="93"/>
  <c r="CN30" i="93"/>
  <c r="CF30" i="93"/>
  <c r="CX30" i="93"/>
  <c r="CM30" i="93"/>
  <c r="CC30" i="93"/>
  <c r="CW30" i="93"/>
  <c r="CL30" i="93"/>
  <c r="CB30" i="93"/>
  <c r="CU30" i="93"/>
  <c r="CK30" i="93"/>
  <c r="CT30" i="93"/>
  <c r="CJ30" i="93"/>
  <c r="DC30" i="93"/>
  <c r="CS30" i="93"/>
  <c r="CH30" i="93"/>
  <c r="DB30" i="93"/>
  <c r="CR30" i="93"/>
  <c r="CG30" i="93"/>
  <c r="DA30" i="93"/>
  <c r="CP30" i="93"/>
  <c r="CE30" i="93"/>
  <c r="CZ30" i="93"/>
  <c r="CO30" i="93"/>
  <c r="CD30" i="93"/>
  <c r="BH30" i="93"/>
  <c r="AZ30" i="93"/>
  <c r="AR30" i="93"/>
  <c r="AJ30" i="93"/>
  <c r="BG30" i="93"/>
  <c r="AY30" i="93"/>
  <c r="AQ30" i="93"/>
  <c r="BF30" i="93"/>
  <c r="AX30" i="93"/>
  <c r="AP30" i="93"/>
  <c r="BL30" i="93"/>
  <c r="BD30" i="93"/>
  <c r="AV30" i="93"/>
  <c r="AN30" i="93"/>
  <c r="BJ30" i="93"/>
  <c r="BB30" i="93"/>
  <c r="AT30" i="93"/>
  <c r="AL30" i="93"/>
  <c r="BI30" i="93"/>
  <c r="BA30" i="93"/>
  <c r="AS30" i="93"/>
  <c r="AK30" i="93"/>
  <c r="AO30" i="93"/>
  <c r="AM30" i="93"/>
  <c r="BM30" i="93"/>
  <c r="BK30" i="93"/>
  <c r="BE30" i="93"/>
  <c r="BC30" i="93"/>
  <c r="AW30" i="93"/>
  <c r="AU30" i="93"/>
  <c r="CI30" i="88"/>
  <c r="CR30" i="88"/>
  <c r="CZ30" i="88"/>
  <c r="CB30" i="88"/>
  <c r="CJ30" i="88"/>
  <c r="CS30" i="88"/>
  <c r="DA30" i="88"/>
  <c r="CC30" i="88"/>
  <c r="CK30" i="88"/>
  <c r="CT30" i="88"/>
  <c r="DB30" i="88"/>
  <c r="CD30" i="88"/>
  <c r="CL30" i="88"/>
  <c r="CU30" i="88"/>
  <c r="DC30" i="88"/>
  <c r="CE30" i="88"/>
  <c r="CM30" i="88"/>
  <c r="CV30" i="88"/>
  <c r="DD30" i="88"/>
  <c r="CF30" i="88"/>
  <c r="CN30" i="88"/>
  <c r="CG30" i="88"/>
  <c r="CO30" i="88"/>
  <c r="CX30" i="88"/>
  <c r="CY30" i="88"/>
  <c r="CH30" i="88"/>
  <c r="CQ30" i="88"/>
  <c r="CW30" i="88"/>
  <c r="AQ30" i="88"/>
  <c r="AY30" i="88"/>
  <c r="BG30" i="88"/>
  <c r="AR30" i="88"/>
  <c r="AZ30" i="88"/>
  <c r="BH30" i="88"/>
  <c r="AK30" i="88"/>
  <c r="AS30" i="88"/>
  <c r="BA30" i="88"/>
  <c r="BI30" i="88"/>
  <c r="AL30" i="88"/>
  <c r="AT30" i="88"/>
  <c r="BB30" i="88"/>
  <c r="BJ30" i="88"/>
  <c r="AM30" i="88"/>
  <c r="AU30" i="88"/>
  <c r="BC30" i="88"/>
  <c r="BK30" i="88"/>
  <c r="AN30" i="88"/>
  <c r="AV30" i="88"/>
  <c r="BD30" i="88"/>
  <c r="BL30" i="88"/>
  <c r="AO30" i="88"/>
  <c r="AW30" i="88"/>
  <c r="BE30" i="88"/>
  <c r="BM30" i="88"/>
  <c r="AP30" i="88"/>
  <c r="BF30" i="88"/>
  <c r="AX30" i="88"/>
  <c r="AJ30" i="88"/>
  <c r="CP30" i="88"/>
  <c r="BG31" i="91"/>
  <c r="AY31" i="91"/>
  <c r="AQ31" i="91"/>
  <c r="BF31" i="91"/>
  <c r="AX31" i="91"/>
  <c r="AP31" i="91"/>
  <c r="BM31" i="91"/>
  <c r="BE31" i="91"/>
  <c r="AW31" i="91"/>
  <c r="AO31" i="91"/>
  <c r="BL31" i="91"/>
  <c r="BD31" i="91"/>
  <c r="AV31" i="91"/>
  <c r="AN31" i="91"/>
  <c r="BK31" i="91"/>
  <c r="BC31" i="91"/>
  <c r="AU31" i="91"/>
  <c r="AM31" i="91"/>
  <c r="BB31" i="91"/>
  <c r="AJ31" i="91"/>
  <c r="BA31" i="91"/>
  <c r="AZ31" i="91"/>
  <c r="AT31" i="91"/>
  <c r="AS31" i="91"/>
  <c r="BJ31" i="91"/>
  <c r="AR31" i="91"/>
  <c r="BI31" i="91"/>
  <c r="AL31" i="91"/>
  <c r="AK31" i="91"/>
  <c r="CY31" i="91"/>
  <c r="CQ31" i="91"/>
  <c r="CI31" i="91"/>
  <c r="CA31" i="91"/>
  <c r="CX31" i="91"/>
  <c r="CP31" i="91"/>
  <c r="CH31" i="91"/>
  <c r="CW31" i="91"/>
  <c r="CO31" i="91"/>
  <c r="CG31" i="91"/>
  <c r="BH31" i="91"/>
  <c r="DD31" i="91"/>
  <c r="CS31" i="91"/>
  <c r="CE31" i="91"/>
  <c r="DC31" i="91"/>
  <c r="CR31" i="91"/>
  <c r="CD31" i="91"/>
  <c r="DA31" i="91"/>
  <c r="CM31" i="91"/>
  <c r="CB31" i="91"/>
  <c r="CZ31" i="91"/>
  <c r="CL31" i="91"/>
  <c r="CV31" i="91"/>
  <c r="CK31" i="91"/>
  <c r="CU31" i="91"/>
  <c r="CJ31" i="91"/>
  <c r="DB31" i="91"/>
  <c r="CT31" i="91"/>
  <c r="CN31" i="91"/>
  <c r="CF31" i="91"/>
  <c r="CC31" i="91"/>
  <c r="DD30" i="89"/>
  <c r="CV30" i="89"/>
  <c r="CN30" i="89"/>
  <c r="CF30" i="89"/>
  <c r="DC30" i="89"/>
  <c r="CU30" i="89"/>
  <c r="CM30" i="89"/>
  <c r="CE30" i="89"/>
  <c r="DB30" i="89"/>
  <c r="CT30" i="89"/>
  <c r="CL30" i="89"/>
  <c r="CD30" i="89"/>
  <c r="DA30" i="89"/>
  <c r="CS30" i="89"/>
  <c r="CK30" i="89"/>
  <c r="CC30" i="89"/>
  <c r="CY30" i="89"/>
  <c r="CQ30" i="89"/>
  <c r="CI30" i="89"/>
  <c r="CX30" i="89"/>
  <c r="CP30" i="89"/>
  <c r="CH30" i="89"/>
  <c r="CW30" i="89"/>
  <c r="CO30" i="89"/>
  <c r="CG30" i="89"/>
  <c r="CB30" i="89"/>
  <c r="CZ30" i="89"/>
  <c r="CR30" i="89"/>
  <c r="CJ30" i="89"/>
  <c r="BF30" i="89"/>
  <c r="AX30" i="89"/>
  <c r="AP30" i="89"/>
  <c r="BM30" i="89"/>
  <c r="BE30" i="89"/>
  <c r="AW30" i="89"/>
  <c r="AO30" i="89"/>
  <c r="BL30" i="89"/>
  <c r="BD30" i="89"/>
  <c r="AV30" i="89"/>
  <c r="AN30" i="89"/>
  <c r="BK30" i="89"/>
  <c r="BC30" i="89"/>
  <c r="AU30" i="89"/>
  <c r="AM30" i="89"/>
  <c r="BJ30" i="89"/>
  <c r="BB30" i="89"/>
  <c r="AT30" i="89"/>
  <c r="AL30" i="89"/>
  <c r="BI30" i="89"/>
  <c r="BA30" i="89"/>
  <c r="AS30" i="89"/>
  <c r="AK30" i="89"/>
  <c r="BH30" i="89"/>
  <c r="AZ30" i="89"/>
  <c r="AR30" i="89"/>
  <c r="BG30" i="89"/>
  <c r="AY30" i="89"/>
  <c r="AQ30" i="89"/>
  <c r="AJ30" i="89"/>
  <c r="CW31" i="87"/>
  <c r="CO31" i="87"/>
  <c r="CG31" i="87"/>
  <c r="DD31" i="87"/>
  <c r="CV31" i="87"/>
  <c r="CN31" i="87"/>
  <c r="CF31" i="87"/>
  <c r="DC31" i="87"/>
  <c r="CU31" i="87"/>
  <c r="CM31" i="87"/>
  <c r="CE31" i="87"/>
  <c r="DB31" i="87"/>
  <c r="CT31" i="87"/>
  <c r="CL31" i="87"/>
  <c r="CD31" i="87"/>
  <c r="DA31" i="87"/>
  <c r="CS31" i="87"/>
  <c r="CK31" i="87"/>
  <c r="CC31" i="87"/>
  <c r="CZ31" i="87"/>
  <c r="CR31" i="87"/>
  <c r="CJ31" i="87"/>
  <c r="CB31" i="87"/>
  <c r="CY31" i="87"/>
  <c r="CQ31" i="87"/>
  <c r="CI31" i="87"/>
  <c r="CA31" i="87"/>
  <c r="CX31" i="87"/>
  <c r="CP31" i="87"/>
  <c r="CH31" i="87"/>
  <c r="BG31" i="87"/>
  <c r="AY31" i="87"/>
  <c r="AQ31" i="87"/>
  <c r="BF31" i="87"/>
  <c r="AX31" i="87"/>
  <c r="AP31" i="87"/>
  <c r="BM31" i="87"/>
  <c r="BE31" i="87"/>
  <c r="AW31" i="87"/>
  <c r="AO31" i="87"/>
  <c r="BL31" i="87"/>
  <c r="BD31" i="87"/>
  <c r="AV31" i="87"/>
  <c r="AN31" i="87"/>
  <c r="BK31" i="87"/>
  <c r="BC31" i="87"/>
  <c r="AU31" i="87"/>
  <c r="AM31" i="87"/>
  <c r="AZ31" i="87"/>
  <c r="AT31" i="87"/>
  <c r="AS31" i="87"/>
  <c r="BJ31" i="87"/>
  <c r="AR31" i="87"/>
  <c r="BI31" i="87"/>
  <c r="AL31" i="87"/>
  <c r="BH31" i="87"/>
  <c r="AK31" i="87"/>
  <c r="BB31" i="87"/>
  <c r="AJ31" i="87"/>
  <c r="BA31" i="87"/>
  <c r="DD31" i="90"/>
  <c r="CV31" i="90"/>
  <c r="CN31" i="90"/>
  <c r="CF31" i="90"/>
  <c r="DC31" i="90"/>
  <c r="CU31" i="90"/>
  <c r="CM31" i="90"/>
  <c r="CE31" i="90"/>
  <c r="DB31" i="90"/>
  <c r="CT31" i="90"/>
  <c r="CL31" i="90"/>
  <c r="CD31" i="90"/>
  <c r="DA31" i="90"/>
  <c r="CS31" i="90"/>
  <c r="CK31" i="90"/>
  <c r="CC31" i="90"/>
  <c r="CW31" i="90"/>
  <c r="CG31" i="90"/>
  <c r="CR31" i="90"/>
  <c r="CB31" i="90"/>
  <c r="CQ31" i="90"/>
  <c r="CA31" i="90"/>
  <c r="CP31" i="90"/>
  <c r="CO31" i="90"/>
  <c r="CZ31" i="90"/>
  <c r="CJ31" i="90"/>
  <c r="CY31" i="90"/>
  <c r="CI31" i="90"/>
  <c r="CX31" i="90"/>
  <c r="CH31" i="90"/>
  <c r="BG31" i="90"/>
  <c r="AY31" i="90"/>
  <c r="AQ31" i="90"/>
  <c r="AJ31" i="90"/>
  <c r="BF31" i="90"/>
  <c r="AX31" i="90"/>
  <c r="AP31" i="90"/>
  <c r="AR31" i="90"/>
  <c r="BM31" i="90"/>
  <c r="BE31" i="90"/>
  <c r="AW31" i="90"/>
  <c r="AO31" i="90"/>
  <c r="BL31" i="90"/>
  <c r="BD31" i="90"/>
  <c r="AV31" i="90"/>
  <c r="AN31" i="90"/>
  <c r="BH31" i="90"/>
  <c r="BK31" i="90"/>
  <c r="BC31" i="90"/>
  <c r="AU31" i="90"/>
  <c r="AM31" i="90"/>
  <c r="BJ31" i="90"/>
  <c r="BB31" i="90"/>
  <c r="AT31" i="90"/>
  <c r="AL31" i="90"/>
  <c r="BI31" i="90"/>
  <c r="BA31" i="90"/>
  <c r="AS31" i="90"/>
  <c r="AK31" i="90"/>
  <c r="AZ31" i="90"/>
  <c r="DC31" i="92"/>
  <c r="CU31" i="92"/>
  <c r="CM31" i="92"/>
  <c r="CD31" i="92"/>
  <c r="DB31" i="92"/>
  <c r="CT31" i="92"/>
  <c r="CL31" i="92"/>
  <c r="CC31" i="92"/>
  <c r="DA31" i="92"/>
  <c r="CS31" i="92"/>
  <c r="CK31" i="92"/>
  <c r="CB31" i="92"/>
  <c r="CZ31" i="92"/>
  <c r="CR31" i="92"/>
  <c r="CJ31" i="92"/>
  <c r="CA31" i="92"/>
  <c r="CY31" i="92"/>
  <c r="CQ31" i="92"/>
  <c r="CI31" i="92"/>
  <c r="CX31" i="92"/>
  <c r="CP31" i="92"/>
  <c r="CG31" i="92"/>
  <c r="CW31" i="92"/>
  <c r="CO31" i="92"/>
  <c r="CF31" i="92"/>
  <c r="DD31" i="92"/>
  <c r="CV31" i="92"/>
  <c r="CN31" i="92"/>
  <c r="CE31" i="92"/>
  <c r="BJ31" i="92"/>
  <c r="BB31" i="92"/>
  <c r="AT31" i="92"/>
  <c r="AK31" i="92"/>
  <c r="BK31" i="92"/>
  <c r="BI31" i="92"/>
  <c r="BA31" i="92"/>
  <c r="AS31" i="92"/>
  <c r="AJ31" i="92"/>
  <c r="BH31" i="92"/>
  <c r="AZ31" i="92"/>
  <c r="AR31" i="92"/>
  <c r="AU31" i="92"/>
  <c r="BG31" i="92"/>
  <c r="AY31" i="92"/>
  <c r="AP31" i="92"/>
  <c r="BF31" i="92"/>
  <c r="AX31" i="92"/>
  <c r="AO31" i="92"/>
  <c r="BM31" i="92"/>
  <c r="BE31" i="92"/>
  <c r="AW31" i="92"/>
  <c r="AN31" i="92"/>
  <c r="BC31" i="92"/>
  <c r="BL31" i="92"/>
  <c r="BD31" i="92"/>
  <c r="AV31" i="92"/>
  <c r="AM31" i="92"/>
  <c r="AL31" i="92"/>
  <c r="CH31" i="92"/>
  <c r="AQ31" i="92"/>
  <c r="BO30" i="92"/>
  <c r="CZ30" i="84"/>
  <c r="CR30" i="84"/>
  <c r="CJ30" i="84"/>
  <c r="CB30" i="84"/>
  <c r="CY30" i="84"/>
  <c r="CP30" i="84"/>
  <c r="CG30" i="84"/>
  <c r="CW30" i="84"/>
  <c r="CN30" i="84"/>
  <c r="CE30" i="84"/>
  <c r="CX30" i="84"/>
  <c r="CL30" i="84"/>
  <c r="CV30" i="84"/>
  <c r="CK30" i="84"/>
  <c r="CU30" i="84"/>
  <c r="CI30" i="84"/>
  <c r="CT30" i="84"/>
  <c r="CH30" i="84"/>
  <c r="DD30" i="84"/>
  <c r="CS30" i="84"/>
  <c r="CF30" i="84"/>
  <c r="CO30" i="84"/>
  <c r="CM30" i="84"/>
  <c r="CD30" i="84"/>
  <c r="CC30" i="84"/>
  <c r="DC30" i="84"/>
  <c r="CA30" i="84"/>
  <c r="DB30" i="84"/>
  <c r="DA30" i="84"/>
  <c r="CQ30" i="84"/>
  <c r="BH30" i="84"/>
  <c r="AZ30" i="84"/>
  <c r="AR30" i="84"/>
  <c r="AJ30" i="84"/>
  <c r="BG30" i="84"/>
  <c r="AY30" i="84"/>
  <c r="AQ30" i="84"/>
  <c r="BF30" i="84"/>
  <c r="AX30" i="84"/>
  <c r="AP30" i="84"/>
  <c r="BM30" i="84"/>
  <c r="BE30" i="84"/>
  <c r="AW30" i="84"/>
  <c r="AO30" i="84"/>
  <c r="BL30" i="84"/>
  <c r="BD30" i="84"/>
  <c r="AV30" i="84"/>
  <c r="AN30" i="84"/>
  <c r="BK30" i="84"/>
  <c r="BC30" i="84"/>
  <c r="AU30" i="84"/>
  <c r="AM30" i="84"/>
  <c r="BJ30" i="84"/>
  <c r="BB30" i="84"/>
  <c r="AT30" i="84"/>
  <c r="AL30" i="84"/>
  <c r="AK30" i="84"/>
  <c r="BI30" i="84"/>
  <c r="BA30" i="84"/>
  <c r="AS30" i="84"/>
  <c r="DC30" i="85"/>
  <c r="CU30" i="85"/>
  <c r="CM30" i="85"/>
  <c r="CE30" i="85"/>
  <c r="DB30" i="85"/>
  <c r="CT30" i="85"/>
  <c r="CL30" i="85"/>
  <c r="CD30" i="85"/>
  <c r="CW30" i="85"/>
  <c r="CK30" i="85"/>
  <c r="CA30" i="85"/>
  <c r="CV30" i="85"/>
  <c r="CJ30" i="85"/>
  <c r="CS30" i="85"/>
  <c r="CI30" i="85"/>
  <c r="DD30" i="85"/>
  <c r="CR30" i="85"/>
  <c r="CH30" i="85"/>
  <c r="DA30" i="85"/>
  <c r="CQ30" i="85"/>
  <c r="CG30" i="85"/>
  <c r="CZ30" i="85"/>
  <c r="CP30" i="85"/>
  <c r="CF30" i="85"/>
  <c r="CY30" i="85"/>
  <c r="CO30" i="85"/>
  <c r="CC30" i="85"/>
  <c r="CX30" i="85"/>
  <c r="CN30" i="85"/>
  <c r="CB30" i="85"/>
  <c r="BF30" i="85"/>
  <c r="AX30" i="85"/>
  <c r="AP30" i="85"/>
  <c r="BM30" i="85"/>
  <c r="BE30" i="85"/>
  <c r="AW30" i="85"/>
  <c r="AO30" i="85"/>
  <c r="BL30" i="85"/>
  <c r="BD30" i="85"/>
  <c r="AV30" i="85"/>
  <c r="AN30" i="85"/>
  <c r="BK30" i="85"/>
  <c r="BC30" i="85"/>
  <c r="AU30" i="85"/>
  <c r="AM30" i="85"/>
  <c r="BJ30" i="85"/>
  <c r="BB30" i="85"/>
  <c r="AT30" i="85"/>
  <c r="AL30" i="85"/>
  <c r="BI30" i="85"/>
  <c r="BA30" i="85"/>
  <c r="AS30" i="85"/>
  <c r="AK30" i="85"/>
  <c r="BH30" i="85"/>
  <c r="AZ30" i="85"/>
  <c r="AR30" i="85"/>
  <c r="AJ30" i="85"/>
  <c r="BG30" i="85"/>
  <c r="AY30" i="85"/>
  <c r="AQ30" i="85"/>
  <c r="DB31" i="86"/>
  <c r="CT31" i="86"/>
  <c r="CL31" i="86"/>
  <c r="CD31" i="86"/>
  <c r="DA31" i="86"/>
  <c r="CS31" i="86"/>
  <c r="CK31" i="86"/>
  <c r="CB31" i="86"/>
  <c r="CZ31" i="86"/>
  <c r="CR31" i="86"/>
  <c r="CJ31" i="86"/>
  <c r="CA31" i="86"/>
  <c r="DC31" i="86"/>
  <c r="CO31" i="86"/>
  <c r="CY31" i="86"/>
  <c r="CN31" i="86"/>
  <c r="CX31" i="86"/>
  <c r="CM31" i="86"/>
  <c r="CW31" i="86"/>
  <c r="CI31" i="86"/>
  <c r="CV31" i="86"/>
  <c r="CH31" i="86"/>
  <c r="CU31" i="86"/>
  <c r="CG31" i="86"/>
  <c r="DD31" i="86"/>
  <c r="CP31" i="86"/>
  <c r="CF31" i="86"/>
  <c r="CE31" i="86"/>
  <c r="CQ31" i="86"/>
  <c r="BH31" i="86"/>
  <c r="AZ31" i="86"/>
  <c r="AR31" i="86"/>
  <c r="BJ31" i="86"/>
  <c r="BA31" i="86"/>
  <c r="AQ31" i="86"/>
  <c r="BI31" i="86"/>
  <c r="AY31" i="86"/>
  <c r="AP31" i="86"/>
  <c r="BG31" i="86"/>
  <c r="AX31" i="86"/>
  <c r="AO31" i="86"/>
  <c r="BF31" i="86"/>
  <c r="AW31" i="86"/>
  <c r="AN31" i="86"/>
  <c r="BE31" i="86"/>
  <c r="AV31" i="86"/>
  <c r="AM31" i="86"/>
  <c r="BM31" i="86"/>
  <c r="BD31" i="86"/>
  <c r="AU31" i="86"/>
  <c r="AK31" i="86"/>
  <c r="BL31" i="86"/>
  <c r="BC31" i="86"/>
  <c r="AT31" i="86"/>
  <c r="AJ31" i="86"/>
  <c r="BK31" i="86"/>
  <c r="BB31" i="86"/>
  <c r="AS31" i="86"/>
  <c r="AL31" i="86"/>
  <c r="AJ30" i="83"/>
  <c r="AS30" i="83"/>
  <c r="BA30" i="83"/>
  <c r="BI30" i="83"/>
  <c r="CG30" i="83"/>
  <c r="CO30" i="83"/>
  <c r="CW30" i="83"/>
  <c r="CI30" i="83"/>
  <c r="CY30" i="83"/>
  <c r="AL30" i="83"/>
  <c r="AT30" i="83"/>
  <c r="BB30" i="83"/>
  <c r="BJ30" i="83"/>
  <c r="CH30" i="83"/>
  <c r="CP30" i="83"/>
  <c r="CX30" i="83"/>
  <c r="CQ30" i="83"/>
  <c r="AM30" i="83"/>
  <c r="AU30" i="83"/>
  <c r="BC30" i="83"/>
  <c r="BK30" i="83"/>
  <c r="AN30" i="83"/>
  <c r="AV30" i="83"/>
  <c r="BD30" i="83"/>
  <c r="BL30" i="83"/>
  <c r="CA30" i="83"/>
  <c r="CJ30" i="83"/>
  <c r="CR30" i="83"/>
  <c r="CZ30" i="83"/>
  <c r="CC30" i="83"/>
  <c r="CS30" i="83"/>
  <c r="DA30" i="83"/>
  <c r="AO30" i="83"/>
  <c r="AW30" i="83"/>
  <c r="BE30" i="83"/>
  <c r="BM30" i="83"/>
  <c r="CK30" i="83"/>
  <c r="AX30" i="83"/>
  <c r="CM30" i="83"/>
  <c r="AY30" i="83"/>
  <c r="CN30" i="83"/>
  <c r="AZ30" i="83"/>
  <c r="CT30" i="83"/>
  <c r="BF30" i="83"/>
  <c r="CU30" i="83"/>
  <c r="BG30" i="83"/>
  <c r="CD30" i="83"/>
  <c r="CV30" i="83"/>
  <c r="AP30" i="83"/>
  <c r="BH30" i="83"/>
  <c r="CE30" i="83"/>
  <c r="DB30" i="83"/>
  <c r="AQ30" i="83"/>
  <c r="CF30" i="83"/>
  <c r="DC30" i="83"/>
  <c r="AR30" i="83"/>
  <c r="CL30" i="83"/>
  <c r="DD30" i="83"/>
  <c r="AE19" i="92"/>
  <c r="AE24" i="90"/>
  <c r="BN24" i="90" s="1"/>
  <c r="K24" i="90" s="1"/>
  <c r="AE19" i="86"/>
  <c r="AE22" i="91"/>
  <c r="BN22" i="91" s="1"/>
  <c r="K22" i="91" s="1"/>
  <c r="AE20" i="88"/>
  <c r="AE23" i="87"/>
  <c r="AE24" i="84"/>
  <c r="AE21" i="85"/>
  <c r="AE20" i="89"/>
  <c r="BN20" i="89" s="1"/>
  <c r="K20" i="89" s="1"/>
  <c r="AE26" i="83"/>
  <c r="AF28" i="85"/>
  <c r="AF33" i="83"/>
  <c r="AF27" i="89"/>
  <c r="BN27" i="89" s="1"/>
  <c r="K27" i="89" s="1"/>
  <c r="AF26" i="92"/>
  <c r="AF31" i="90"/>
  <c r="AF27" i="88"/>
  <c r="AF30" i="87"/>
  <c r="AF26" i="86"/>
  <c r="AF29" i="91"/>
  <c r="BN29" i="91" s="1"/>
  <c r="K29" i="91" s="1"/>
  <c r="BV19" i="92"/>
  <c r="BV24" i="90"/>
  <c r="BV19" i="86"/>
  <c r="BV22" i="91"/>
  <c r="BV20" i="88"/>
  <c r="BV23" i="87"/>
  <c r="BV24" i="84"/>
  <c r="BV21" i="85"/>
  <c r="BV20" i="89"/>
  <c r="BV26" i="83"/>
  <c r="BV34" i="41"/>
  <c r="AE34" i="41"/>
  <c r="AD16" i="87"/>
  <c r="AD40" i="92"/>
  <c r="AD42" i="85"/>
  <c r="AD17" i="84"/>
  <c r="AD43" i="91"/>
  <c r="AD41" i="89"/>
  <c r="AD19" i="83"/>
  <c r="AD41" i="88"/>
  <c r="AD45" i="84"/>
  <c r="AD15" i="91"/>
  <c r="BN15" i="91" s="1"/>
  <c r="K15" i="91" s="1"/>
  <c r="AD44" i="87"/>
  <c r="BU40" i="92"/>
  <c r="BU42" i="85"/>
  <c r="BU43" i="91"/>
  <c r="BU41" i="89"/>
  <c r="BU41" i="88"/>
  <c r="BU45" i="84"/>
  <c r="BU15" i="91"/>
  <c r="BU44" i="87"/>
  <c r="BU19" i="83"/>
  <c r="BU16" i="87"/>
  <c r="BU17" i="84"/>
  <c r="BU27" i="41"/>
  <c r="BW27" i="89"/>
  <c r="BW28" i="85"/>
  <c r="BW26" i="92"/>
  <c r="BW31" i="90"/>
  <c r="BW27" i="88"/>
  <c r="BW30" i="87"/>
  <c r="BW26" i="86"/>
  <c r="BW29" i="91"/>
  <c r="BW33" i="83"/>
  <c r="BW41" i="41"/>
  <c r="AG49" i="41"/>
  <c r="AG33" i="86"/>
  <c r="AG40" i="83"/>
  <c r="AG34" i="89"/>
  <c r="AG35" i="85"/>
  <c r="AG38" i="90"/>
  <c r="AG34" i="88"/>
  <c r="AG33" i="92"/>
  <c r="AG37" i="87"/>
  <c r="AG38" i="84"/>
  <c r="AG36" i="91"/>
  <c r="BX35" i="85"/>
  <c r="BX38" i="90"/>
  <c r="BX34" i="88"/>
  <c r="BX33" i="92"/>
  <c r="BX37" i="87"/>
  <c r="BX38" i="84"/>
  <c r="BX36" i="91"/>
  <c r="BX33" i="86"/>
  <c r="BX34" i="89"/>
  <c r="BX40" i="83"/>
  <c r="BX48" i="41"/>
  <c r="B19" i="95"/>
  <c r="BF30" i="43"/>
  <c r="B18" i="47"/>
  <c r="P29" i="43"/>
  <c r="B18" i="48"/>
  <c r="AR29" i="43"/>
  <c r="B18" i="49"/>
  <c r="AD29" i="43"/>
  <c r="AE35" i="23"/>
  <c r="BX40" i="87"/>
  <c r="BX18" i="93"/>
  <c r="BX25" i="90"/>
  <c r="BX28" i="89"/>
  <c r="BX36" i="85"/>
  <c r="BX20" i="92"/>
  <c r="BX23" i="91"/>
  <c r="BX28" i="88"/>
  <c r="BX31" i="87"/>
  <c r="BX39" i="84"/>
  <c r="BX41" i="83"/>
  <c r="BX34" i="86"/>
  <c r="BX49" i="41"/>
  <c r="BW33" i="87"/>
  <c r="BW16" i="91"/>
  <c r="BW21" i="89"/>
  <c r="BW29" i="85"/>
  <c r="BW41" i="92"/>
  <c r="BW18" i="90"/>
  <c r="BW21" i="88"/>
  <c r="BW24" i="87"/>
  <c r="BW27" i="86"/>
  <c r="BW44" i="91"/>
  <c r="BW34" i="83"/>
  <c r="AD36" i="89"/>
  <c r="AD43" i="85"/>
  <c r="AD27" i="92"/>
  <c r="AD38" i="87"/>
  <c r="AD30" i="91"/>
  <c r="BN30" i="91" s="1"/>
  <c r="K30" i="91" s="1"/>
  <c r="AD15" i="85"/>
  <c r="BN15" i="85" s="1"/>
  <c r="K15" i="85" s="1"/>
  <c r="AD20" i="83"/>
  <c r="BN20" i="83" s="1"/>
  <c r="AD35" i="89"/>
  <c r="AD35" i="88"/>
  <c r="AD18" i="84"/>
  <c r="BN18" i="84" s="1"/>
  <c r="AE37" i="91"/>
  <c r="AE42" i="89"/>
  <c r="AE27" i="83"/>
  <c r="BN27" i="83" s="1"/>
  <c r="AE42" i="88"/>
  <c r="AE45" i="87"/>
  <c r="AE22" i="85"/>
  <c r="BN22" i="85" s="1"/>
  <c r="K22" i="85" s="1"/>
  <c r="AE39" i="90"/>
  <c r="AE17" i="87"/>
  <c r="BN17" i="87" s="1"/>
  <c r="K17" i="87" s="1"/>
  <c r="AE20" i="86"/>
  <c r="BN20" i="86" s="1"/>
  <c r="K20" i="86" s="1"/>
  <c r="AE25" i="84"/>
  <c r="BN25" i="84" s="1"/>
  <c r="AE34" i="92"/>
  <c r="AF33" i="87"/>
  <c r="AF44" i="91"/>
  <c r="AF34" i="83"/>
  <c r="AF16" i="91"/>
  <c r="BN16" i="91" s="1"/>
  <c r="K16" i="91" s="1"/>
  <c r="AF21" i="89"/>
  <c r="BN21" i="89" s="1"/>
  <c r="K21" i="89" s="1"/>
  <c r="AF29" i="85"/>
  <c r="BN29" i="85" s="1"/>
  <c r="K29" i="85" s="1"/>
  <c r="AF41" i="92"/>
  <c r="AF18" i="90"/>
  <c r="BN18" i="90" s="1"/>
  <c r="K18" i="90" s="1"/>
  <c r="AF21" i="88"/>
  <c r="BN21" i="88" s="1"/>
  <c r="K21" i="88" s="1"/>
  <c r="AF24" i="87"/>
  <c r="BN24" i="87" s="1"/>
  <c r="K24" i="87" s="1"/>
  <c r="AF27" i="86"/>
  <c r="BN27" i="86" s="1"/>
  <c r="K27" i="86" s="1"/>
  <c r="AG40" i="87"/>
  <c r="AG34" i="86"/>
  <c r="AG18" i="93"/>
  <c r="AG25" i="90"/>
  <c r="BN25" i="90" s="1"/>
  <c r="K25" i="90" s="1"/>
  <c r="AG28" i="89"/>
  <c r="BN28" i="89" s="1"/>
  <c r="K28" i="89" s="1"/>
  <c r="AG36" i="85"/>
  <c r="AG20" i="92"/>
  <c r="AG23" i="91"/>
  <c r="BN23" i="91" s="1"/>
  <c r="K23" i="91" s="1"/>
  <c r="AG28" i="88"/>
  <c r="BN28" i="88" s="1"/>
  <c r="K28" i="88" s="1"/>
  <c r="AG31" i="87"/>
  <c r="AG39" i="84"/>
  <c r="AG41" i="83"/>
  <c r="BU36" i="89"/>
  <c r="BU30" i="91"/>
  <c r="BU15" i="85"/>
  <c r="BU20" i="83"/>
  <c r="BU35" i="89"/>
  <c r="BU35" i="88"/>
  <c r="BU18" i="84"/>
  <c r="BU43" i="85"/>
  <c r="BU27" i="92"/>
  <c r="BU38" i="87"/>
  <c r="BV42" i="88"/>
  <c r="BV45" i="87"/>
  <c r="BV22" i="85"/>
  <c r="BV39" i="90"/>
  <c r="BV17" i="87"/>
  <c r="BV20" i="86"/>
  <c r="BV25" i="84"/>
  <c r="BV34" i="92"/>
  <c r="BV37" i="91"/>
  <c r="BV42" i="89"/>
  <c r="BV27" i="83"/>
  <c r="DE29" i="88"/>
  <c r="L29" i="88" s="1"/>
  <c r="X18" i="23"/>
  <c r="AD18" i="24" s="1"/>
  <c r="T18" i="23"/>
  <c r="Y18" i="24" s="1"/>
  <c r="P17" i="23"/>
  <c r="T17" i="24" s="1"/>
  <c r="BN29" i="88"/>
  <c r="K29" i="88" s="1"/>
  <c r="AA18" i="25"/>
  <c r="AT18" i="23"/>
  <c r="D30" i="93"/>
  <c r="AS19" i="23"/>
  <c r="Z19" i="25"/>
  <c r="A32" i="93"/>
  <c r="B31" i="93"/>
  <c r="AD17" i="25"/>
  <c r="AV17" i="23"/>
  <c r="AO20" i="23"/>
  <c r="U20" i="25"/>
  <c r="P20" i="25"/>
  <c r="AK20" i="23"/>
  <c r="AC19" i="23"/>
  <c r="F19" i="25"/>
  <c r="Z20" i="24"/>
  <c r="U20" i="23"/>
  <c r="U20" i="24"/>
  <c r="Q20" i="23"/>
  <c r="D30" i="85"/>
  <c r="Q18" i="24"/>
  <c r="N18" i="23"/>
  <c r="M19" i="23"/>
  <c r="P19" i="24"/>
  <c r="B31" i="85"/>
  <c r="A32" i="85"/>
  <c r="I19" i="23"/>
  <c r="K19" i="24"/>
  <c r="E19" i="23"/>
  <c r="F19" i="24"/>
  <c r="V19" i="24"/>
  <c r="R19" i="23"/>
  <c r="L18" i="24"/>
  <c r="J18" i="23"/>
  <c r="F18" i="23"/>
  <c r="G18" i="24"/>
  <c r="AN18" i="23"/>
  <c r="T18" i="25"/>
  <c r="J17" i="25"/>
  <c r="AF17" i="23"/>
  <c r="G18" i="25"/>
  <c r="AD18" i="23"/>
  <c r="V19" i="23"/>
  <c r="AA19" i="24"/>
  <c r="AR18" i="23"/>
  <c r="Y18" i="25"/>
  <c r="AP19" i="23"/>
  <c r="V19" i="25"/>
  <c r="Q19" i="25"/>
  <c r="AL19" i="23"/>
  <c r="AE19" i="93"/>
  <c r="AE46" i="93" s="1"/>
  <c r="AE26" i="87"/>
  <c r="BV19" i="93"/>
  <c r="BV26" i="87"/>
  <c r="AG35" i="92"/>
  <c r="AG15" i="83"/>
  <c r="AG29" i="89"/>
  <c r="AG43" i="83"/>
  <c r="AG33" i="90"/>
  <c r="AG15" i="86"/>
  <c r="AG17" i="85"/>
  <c r="AG38" i="91"/>
  <c r="AE50" i="41"/>
  <c r="AE27" i="84"/>
  <c r="AE17" i="91"/>
  <c r="AE29" i="86"/>
  <c r="AE31" i="85"/>
  <c r="AE15" i="89"/>
  <c r="AE21" i="92"/>
  <c r="AE19" i="90"/>
  <c r="AE29" i="83"/>
  <c r="BU40" i="90"/>
  <c r="BU20" i="84"/>
  <c r="BU22" i="83"/>
  <c r="BU42" i="92"/>
  <c r="BU30" i="88"/>
  <c r="BU45" i="91"/>
  <c r="BU22" i="86"/>
  <c r="BU24" i="85"/>
  <c r="AF26" i="90"/>
  <c r="AF41" i="84"/>
  <c r="AF38" i="85"/>
  <c r="AF31" i="91"/>
  <c r="AF28" i="92"/>
  <c r="AF22" i="89"/>
  <c r="BV27" i="84"/>
  <c r="BV17" i="91"/>
  <c r="BV15" i="89"/>
  <c r="BV29" i="86"/>
  <c r="BV31" i="85"/>
  <c r="BV21" i="92"/>
  <c r="BV29" i="83"/>
  <c r="BV19" i="90"/>
  <c r="BW26" i="90"/>
  <c r="BW41" i="84"/>
  <c r="BW38" i="85"/>
  <c r="BW31" i="91"/>
  <c r="BW28" i="92"/>
  <c r="BW22" i="89"/>
  <c r="BX35" i="92"/>
  <c r="BX29" i="89"/>
  <c r="BX43" i="83"/>
  <c r="BX33" i="90"/>
  <c r="BX15" i="86"/>
  <c r="BX17" i="85"/>
  <c r="BX38" i="91"/>
  <c r="BX15" i="83"/>
  <c r="AD44" i="41"/>
  <c r="AD40" i="90"/>
  <c r="AD20" i="84"/>
  <c r="AD22" i="83"/>
  <c r="AD42" i="92"/>
  <c r="AD45" i="91"/>
  <c r="AD30" i="88"/>
  <c r="AD22" i="86"/>
  <c r="AD24" i="85"/>
  <c r="BW36" i="83"/>
  <c r="BW16" i="89"/>
  <c r="AF44" i="41"/>
  <c r="AF36" i="83"/>
  <c r="AF16" i="89"/>
  <c r="O18" i="25"/>
  <c r="AJ18" i="23"/>
  <c r="AH19" i="23"/>
  <c r="L19" i="25"/>
  <c r="K20" i="25"/>
  <c r="AG20" i="23"/>
  <c r="Y19" i="23"/>
  <c r="A19" i="25"/>
  <c r="Z18" i="23"/>
  <c r="B18" i="25"/>
  <c r="E17" i="25"/>
  <c r="AB17" i="23"/>
  <c r="BV26" i="90"/>
  <c r="BV38" i="85"/>
  <c r="BV19" i="87"/>
  <c r="BV36" i="83"/>
  <c r="BV41" i="84"/>
  <c r="BV16" i="88"/>
  <c r="BV28" i="92"/>
  <c r="BV22" i="89"/>
  <c r="BV50" i="41"/>
  <c r="AD30" i="41"/>
  <c r="AD29" i="83"/>
  <c r="AD19" i="90"/>
  <c r="AD29" i="86"/>
  <c r="AD27" i="84"/>
  <c r="AD17" i="91"/>
  <c r="AD15" i="89"/>
  <c r="AD40" i="87"/>
  <c r="AD31" i="85"/>
  <c r="AE28" i="92"/>
  <c r="AE26" i="90"/>
  <c r="AE22" i="89"/>
  <c r="AE38" i="85"/>
  <c r="AE19" i="87"/>
  <c r="AE41" i="84"/>
  <c r="AE36" i="83"/>
  <c r="AE16" i="88"/>
  <c r="BU19" i="90"/>
  <c r="BU29" i="86"/>
  <c r="BU17" i="91"/>
  <c r="BU15" i="89"/>
  <c r="BU40" i="87"/>
  <c r="BU31" i="85"/>
  <c r="BU27" i="84"/>
  <c r="BU29" i="83"/>
  <c r="BU44" i="41"/>
  <c r="BV33" i="87"/>
  <c r="BV24" i="85"/>
  <c r="BV45" i="91"/>
  <c r="BV42" i="92"/>
  <c r="BV30" i="88"/>
  <c r="BV40" i="90"/>
  <c r="BV22" i="86"/>
  <c r="BV37" i="41"/>
  <c r="BW18" i="83"/>
  <c r="BW19" i="90"/>
  <c r="BW40" i="87"/>
  <c r="BW21" i="92"/>
  <c r="BW29" i="86"/>
  <c r="BW31" i="85"/>
  <c r="BW19" i="93"/>
  <c r="BW17" i="91"/>
  <c r="BW44" i="41"/>
  <c r="BX26" i="90"/>
  <c r="BX38" i="85"/>
  <c r="BX19" i="87"/>
  <c r="BX41" i="84"/>
  <c r="BX31" i="91"/>
  <c r="BX28" i="92"/>
  <c r="BX16" i="88"/>
  <c r="BX50" i="41"/>
  <c r="AE30" i="41"/>
  <c r="AE24" i="85"/>
  <c r="AE45" i="91"/>
  <c r="AE40" i="90"/>
  <c r="AE22" i="86"/>
  <c r="AE33" i="87"/>
  <c r="AE30" i="88"/>
  <c r="AE42" i="92"/>
  <c r="BU28" i="41"/>
  <c r="BU35" i="92"/>
  <c r="BU23" i="88"/>
  <c r="BU17" i="85"/>
  <c r="BU38" i="91"/>
  <c r="BU33" i="90"/>
  <c r="BU15" i="86"/>
  <c r="BU26" i="87"/>
  <c r="BU30" i="41"/>
  <c r="AF18" i="83"/>
  <c r="AF21" i="92"/>
  <c r="AF19" i="93"/>
  <c r="AF46" i="93" s="1"/>
  <c r="AF17" i="91"/>
  <c r="AF31" i="85"/>
  <c r="AF19" i="90"/>
  <c r="AF29" i="86"/>
  <c r="AF40" i="87"/>
  <c r="AD23" i="88"/>
  <c r="AD26" i="87"/>
  <c r="AD15" i="86"/>
  <c r="AD35" i="92"/>
  <c r="AD17" i="85"/>
  <c r="AD38" i="91"/>
  <c r="AD33" i="90"/>
  <c r="AG44" i="41"/>
  <c r="AG31" i="91"/>
  <c r="AG19" i="87"/>
  <c r="AG16" i="88"/>
  <c r="AG26" i="90"/>
  <c r="AG41" i="84"/>
  <c r="AG38" i="85"/>
  <c r="AG28" i="92"/>
  <c r="AE37" i="41"/>
  <c r="AG50" i="41"/>
  <c r="C12" i="82"/>
  <c r="B4" i="94" s="1"/>
  <c r="A4" i="94"/>
  <c r="BW22" i="41"/>
  <c r="BW22" i="86"/>
  <c r="BW27" i="84"/>
  <c r="BW38" i="91"/>
  <c r="BW15" i="89"/>
  <c r="BW35" i="92"/>
  <c r="BW16" i="88"/>
  <c r="BW40" i="90"/>
  <c r="BW19" i="87"/>
  <c r="BW24" i="85"/>
  <c r="BW29" i="83"/>
  <c r="AF30" i="41"/>
  <c r="AF40" i="90"/>
  <c r="AF19" i="87"/>
  <c r="AF24" i="85"/>
  <c r="AF22" i="86"/>
  <c r="AF38" i="91"/>
  <c r="AF15" i="89"/>
  <c r="AF29" i="83"/>
  <c r="AF35" i="92"/>
  <c r="AF27" i="84"/>
  <c r="AF16" i="88"/>
  <c r="BX23" i="41"/>
  <c r="BX22" i="89"/>
  <c r="BX26" i="87"/>
  <c r="BX31" i="85"/>
  <c r="BX36" i="83"/>
  <c r="BX29" i="86"/>
  <c r="BX42" i="92"/>
  <c r="BX45" i="91"/>
  <c r="BX19" i="90"/>
  <c r="BX23" i="88"/>
  <c r="BX17" i="91"/>
  <c r="BX44" i="41"/>
  <c r="AG31" i="41"/>
  <c r="AG42" i="92"/>
  <c r="AG45" i="91"/>
  <c r="AG19" i="90"/>
  <c r="AG23" i="88"/>
  <c r="AG17" i="91"/>
  <c r="AG22" i="89"/>
  <c r="AG26" i="87"/>
  <c r="AG31" i="85"/>
  <c r="AG36" i="83"/>
  <c r="AG29" i="86"/>
  <c r="BV21" i="41"/>
  <c r="BV37" i="88"/>
  <c r="BV31" i="91"/>
  <c r="BV40" i="87"/>
  <c r="BV33" i="90"/>
  <c r="BV22" i="83"/>
  <c r="BV36" i="89"/>
  <c r="BV17" i="85"/>
  <c r="BV15" i="86"/>
  <c r="BV20" i="84"/>
  <c r="BV30" i="41"/>
  <c r="AE29" i="41"/>
  <c r="AE22" i="83"/>
  <c r="AE36" i="89"/>
  <c r="AE17" i="85"/>
  <c r="AE15" i="86"/>
  <c r="AE20" i="84"/>
  <c r="AE37" i="88"/>
  <c r="AE31" i="91"/>
  <c r="AE40" i="87"/>
  <c r="AE33" i="90"/>
  <c r="AD41" i="84"/>
  <c r="AD29" i="89"/>
  <c r="AD19" i="93"/>
  <c r="AD26" i="90"/>
  <c r="AD38" i="85"/>
  <c r="AD21" i="92"/>
  <c r="BN21" i="92" s="1"/>
  <c r="AD33" i="87"/>
  <c r="AD36" i="86"/>
  <c r="AD15" i="83"/>
  <c r="BN15" i="83" s="1"/>
  <c r="AD43" i="83"/>
  <c r="BU20" i="41"/>
  <c r="BU19" i="93"/>
  <c r="BU26" i="90"/>
  <c r="BU38" i="85"/>
  <c r="BU21" i="92"/>
  <c r="BU33" i="87"/>
  <c r="BU36" i="86"/>
  <c r="BU15" i="83"/>
  <c r="BU43" i="83"/>
  <c r="BU41" i="84"/>
  <c r="BU29" i="89"/>
  <c r="B32" i="92"/>
  <c r="A33" i="92"/>
  <c r="D31" i="92"/>
  <c r="B32" i="91"/>
  <c r="A33" i="91"/>
  <c r="D31" i="91"/>
  <c r="D31" i="90"/>
  <c r="A33" i="90"/>
  <c r="B32" i="90"/>
  <c r="B31" i="89"/>
  <c r="A32" i="89"/>
  <c r="D30" i="89"/>
  <c r="A32" i="88"/>
  <c r="B31" i="88"/>
  <c r="D30" i="88"/>
  <c r="A33" i="87"/>
  <c r="B32" i="87"/>
  <c r="D31" i="87"/>
  <c r="B32" i="86"/>
  <c r="A33" i="86"/>
  <c r="D31" i="86"/>
  <c r="A32" i="84"/>
  <c r="B31" i="84"/>
  <c r="D30" i="84"/>
  <c r="L18" i="23" s="1"/>
  <c r="O18" i="24" s="1"/>
  <c r="D30" i="83"/>
  <c r="H18" i="23" s="1"/>
  <c r="J18" i="24" s="1"/>
  <c r="A32" i="83"/>
  <c r="B31" i="83"/>
  <c r="AI27" i="41"/>
  <c r="AI51" i="41" s="1"/>
  <c r="AE21" i="41"/>
  <c r="AF22" i="41"/>
  <c r="AD28" i="41"/>
  <c r="AD20" i="41"/>
  <c r="AG23" i="41"/>
  <c r="AH26" i="41"/>
  <c r="AH51" i="41" s="1"/>
  <c r="O50" i="82"/>
  <c r="BZ34" i="41"/>
  <c r="AG35" i="41"/>
  <c r="P40" i="82"/>
  <c r="O47" i="82" s="1"/>
  <c r="BN28" i="92" l="1"/>
  <c r="BN20" i="92"/>
  <c r="K20" i="92" s="1"/>
  <c r="BN26" i="92"/>
  <c r="K26" i="92" s="1"/>
  <c r="BN27" i="92"/>
  <c r="K27" i="92" s="1"/>
  <c r="BN19" i="92"/>
  <c r="K19" i="92" s="1"/>
  <c r="CE31" i="88"/>
  <c r="CM31" i="88"/>
  <c r="CV31" i="88"/>
  <c r="DD31" i="88"/>
  <c r="CF31" i="88"/>
  <c r="CN31" i="88"/>
  <c r="CW31" i="88"/>
  <c r="CG31" i="88"/>
  <c r="CO31" i="88"/>
  <c r="CX31" i="88"/>
  <c r="CH31" i="88"/>
  <c r="CP31" i="88"/>
  <c r="CY31" i="88"/>
  <c r="CI31" i="88"/>
  <c r="CR31" i="88"/>
  <c r="CZ31" i="88"/>
  <c r="CS31" i="88"/>
  <c r="CT31" i="88"/>
  <c r="CA31" i="88"/>
  <c r="CU31" i="88"/>
  <c r="CC31" i="88"/>
  <c r="DA31" i="88"/>
  <c r="CD31" i="88"/>
  <c r="DB31" i="88"/>
  <c r="CJ31" i="88"/>
  <c r="DC31" i="88"/>
  <c r="CK31" i="88"/>
  <c r="CL31" i="88"/>
  <c r="AL31" i="88"/>
  <c r="AT31" i="88"/>
  <c r="BC31" i="88"/>
  <c r="BK31" i="88"/>
  <c r="AM31" i="88"/>
  <c r="AU31" i="88"/>
  <c r="BD31" i="88"/>
  <c r="BL31" i="88"/>
  <c r="AN31" i="88"/>
  <c r="AV31" i="88"/>
  <c r="BE31" i="88"/>
  <c r="BM31" i="88"/>
  <c r="AO31" i="88"/>
  <c r="AW31" i="88"/>
  <c r="BF31" i="88"/>
  <c r="AP31" i="88"/>
  <c r="AX31" i="88"/>
  <c r="BG31" i="88"/>
  <c r="AQ31" i="88"/>
  <c r="AY31" i="88"/>
  <c r="BH31" i="88"/>
  <c r="AR31" i="88"/>
  <c r="BA31" i="88"/>
  <c r="BI31" i="88"/>
  <c r="AS31" i="88"/>
  <c r="BB31" i="88"/>
  <c r="BJ31" i="88"/>
  <c r="AJ31" i="88"/>
  <c r="AZ31" i="88"/>
  <c r="CQ31" i="88"/>
  <c r="BJ32" i="91"/>
  <c r="BB32" i="91"/>
  <c r="AT32" i="91"/>
  <c r="AK32" i="91"/>
  <c r="BI32" i="91"/>
  <c r="BA32" i="91"/>
  <c r="AS32" i="91"/>
  <c r="AJ32" i="91"/>
  <c r="BH32" i="91"/>
  <c r="AZ32" i="91"/>
  <c r="AR32" i="91"/>
  <c r="BG32" i="91"/>
  <c r="AY32" i="91"/>
  <c r="AQ32" i="91"/>
  <c r="BF32" i="91"/>
  <c r="AX32" i="91"/>
  <c r="AP32" i="91"/>
  <c r="BM32" i="91"/>
  <c r="BE32" i="91"/>
  <c r="AW32" i="91"/>
  <c r="AN32" i="91"/>
  <c r="BL32" i="91"/>
  <c r="BD32" i="91"/>
  <c r="AV32" i="91"/>
  <c r="AM32" i="91"/>
  <c r="BK32" i="91"/>
  <c r="BC32" i="91"/>
  <c r="AU32" i="91"/>
  <c r="AL32" i="91"/>
  <c r="DB32" i="91"/>
  <c r="CT32" i="91"/>
  <c r="CL32" i="91"/>
  <c r="CC32" i="91"/>
  <c r="DA32" i="91"/>
  <c r="CS32" i="91"/>
  <c r="CK32" i="91"/>
  <c r="CB32" i="91"/>
  <c r="CZ32" i="91"/>
  <c r="CR32" i="91"/>
  <c r="CJ32" i="91"/>
  <c r="CA32" i="91"/>
  <c r="CY32" i="91"/>
  <c r="CQ32" i="91"/>
  <c r="CI32" i="91"/>
  <c r="CX32" i="91"/>
  <c r="CP32" i="91"/>
  <c r="CH32" i="91"/>
  <c r="CV32" i="91"/>
  <c r="CU32" i="91"/>
  <c r="CN32" i="91"/>
  <c r="CM32" i="91"/>
  <c r="DD32" i="91"/>
  <c r="CG32" i="91"/>
  <c r="DC32" i="91"/>
  <c r="CE32" i="91"/>
  <c r="CW32" i="91"/>
  <c r="CO32" i="91"/>
  <c r="CD32" i="91"/>
  <c r="AO32" i="91"/>
  <c r="CF32" i="91"/>
  <c r="DA31" i="93"/>
  <c r="CS31" i="93"/>
  <c r="CK31" i="93"/>
  <c r="CC31" i="93"/>
  <c r="CX31" i="93"/>
  <c r="CP31" i="93"/>
  <c r="CH31" i="93"/>
  <c r="CW31" i="93"/>
  <c r="DB31" i="93"/>
  <c r="CO31" i="93"/>
  <c r="CE31" i="93"/>
  <c r="CZ31" i="93"/>
  <c r="CN31" i="93"/>
  <c r="CD31" i="93"/>
  <c r="CY31" i="93"/>
  <c r="CM31" i="93"/>
  <c r="CB31" i="93"/>
  <c r="CV31" i="93"/>
  <c r="CL31" i="93"/>
  <c r="CA31" i="93"/>
  <c r="CU31" i="93"/>
  <c r="CJ31" i="93"/>
  <c r="CT31" i="93"/>
  <c r="CI31" i="93"/>
  <c r="DD31" i="93"/>
  <c r="CR31" i="93"/>
  <c r="CG31" i="93"/>
  <c r="DC31" i="93"/>
  <c r="CQ31" i="93"/>
  <c r="CF31" i="93"/>
  <c r="BJ31" i="93"/>
  <c r="BB31" i="93"/>
  <c r="AT31" i="93"/>
  <c r="AL31" i="93"/>
  <c r="BI31" i="93"/>
  <c r="BA31" i="93"/>
  <c r="AS31" i="93"/>
  <c r="AK31" i="93"/>
  <c r="BH31" i="93"/>
  <c r="AZ31" i="93"/>
  <c r="AR31" i="93"/>
  <c r="AJ31" i="93"/>
  <c r="BF31" i="93"/>
  <c r="AX31" i="93"/>
  <c r="AP31" i="93"/>
  <c r="BL31" i="93"/>
  <c r="BD31" i="93"/>
  <c r="AV31" i="93"/>
  <c r="AN31" i="93"/>
  <c r="BK31" i="93"/>
  <c r="BC31" i="93"/>
  <c r="AU31" i="93"/>
  <c r="AM31" i="93"/>
  <c r="AQ31" i="93"/>
  <c r="AO31" i="93"/>
  <c r="BM31" i="93"/>
  <c r="BG31" i="93"/>
  <c r="BE31" i="93"/>
  <c r="AY31" i="93"/>
  <c r="AW31" i="93"/>
  <c r="BO31" i="92"/>
  <c r="CY31" i="89"/>
  <c r="CQ31" i="89"/>
  <c r="CI31" i="89"/>
  <c r="CX31" i="89"/>
  <c r="CP31" i="89"/>
  <c r="CH31" i="89"/>
  <c r="CW31" i="89"/>
  <c r="CO31" i="89"/>
  <c r="CG31" i="89"/>
  <c r="DD31" i="89"/>
  <c r="CV31" i="89"/>
  <c r="CN31" i="89"/>
  <c r="CF31" i="89"/>
  <c r="DB31" i="89"/>
  <c r="CT31" i="89"/>
  <c r="CL31" i="89"/>
  <c r="CD31" i="89"/>
  <c r="DA31" i="89"/>
  <c r="CS31" i="89"/>
  <c r="CK31" i="89"/>
  <c r="CC31" i="89"/>
  <c r="CZ31" i="89"/>
  <c r="CR31" i="89"/>
  <c r="CJ31" i="89"/>
  <c r="CA31" i="89"/>
  <c r="DC31" i="89"/>
  <c r="CU31" i="89"/>
  <c r="CM31" i="89"/>
  <c r="CE31" i="89"/>
  <c r="BI31" i="89"/>
  <c r="BA31" i="89"/>
  <c r="AS31" i="89"/>
  <c r="AJ31" i="89"/>
  <c r="BH31" i="89"/>
  <c r="AZ31" i="89"/>
  <c r="AR31" i="89"/>
  <c r="BG31" i="89"/>
  <c r="AY31" i="89"/>
  <c r="AQ31" i="89"/>
  <c r="BF31" i="89"/>
  <c r="AX31" i="89"/>
  <c r="AP31" i="89"/>
  <c r="BM31" i="89"/>
  <c r="BE31" i="89"/>
  <c r="AW31" i="89"/>
  <c r="AO31" i="89"/>
  <c r="BL31" i="89"/>
  <c r="BD31" i="89"/>
  <c r="AV31" i="89"/>
  <c r="AN31" i="89"/>
  <c r="BK31" i="89"/>
  <c r="BC31" i="89"/>
  <c r="AU31" i="89"/>
  <c r="AM31" i="89"/>
  <c r="BJ31" i="89"/>
  <c r="BB31" i="89"/>
  <c r="AT31" i="89"/>
  <c r="AL31" i="89"/>
  <c r="CY32" i="87"/>
  <c r="CQ32" i="87"/>
  <c r="CI32" i="87"/>
  <c r="CA32" i="87"/>
  <c r="CX32" i="87"/>
  <c r="CP32" i="87"/>
  <c r="CH32" i="87"/>
  <c r="CW32" i="87"/>
  <c r="CO32" i="87"/>
  <c r="CG32" i="87"/>
  <c r="DD32" i="87"/>
  <c r="CV32" i="87"/>
  <c r="CN32" i="87"/>
  <c r="CF32" i="87"/>
  <c r="DC32" i="87"/>
  <c r="CU32" i="87"/>
  <c r="CM32" i="87"/>
  <c r="CE32" i="87"/>
  <c r="DB32" i="87"/>
  <c r="CT32" i="87"/>
  <c r="CL32" i="87"/>
  <c r="CD32" i="87"/>
  <c r="DA32" i="87"/>
  <c r="CS32" i="87"/>
  <c r="CK32" i="87"/>
  <c r="CC32" i="87"/>
  <c r="CZ32" i="87"/>
  <c r="CR32" i="87"/>
  <c r="CJ32" i="87"/>
  <c r="CB32" i="87"/>
  <c r="BI32" i="87"/>
  <c r="BA32" i="87"/>
  <c r="AS32" i="87"/>
  <c r="AK32" i="87"/>
  <c r="BH32" i="87"/>
  <c r="AZ32" i="87"/>
  <c r="AR32" i="87"/>
  <c r="AJ32" i="87"/>
  <c r="BG32" i="87"/>
  <c r="AY32" i="87"/>
  <c r="AQ32" i="87"/>
  <c r="BF32" i="87"/>
  <c r="AX32" i="87"/>
  <c r="AP32" i="87"/>
  <c r="BM32" i="87"/>
  <c r="BE32" i="87"/>
  <c r="AW32" i="87"/>
  <c r="AO32" i="87"/>
  <c r="BK32" i="87"/>
  <c r="AN32" i="87"/>
  <c r="BJ32" i="87"/>
  <c r="AM32" i="87"/>
  <c r="BD32" i="87"/>
  <c r="AL32" i="87"/>
  <c r="BC32" i="87"/>
  <c r="BB32" i="87"/>
  <c r="AV32" i="87"/>
  <c r="AU32" i="87"/>
  <c r="BL32" i="87"/>
  <c r="AT32" i="87"/>
  <c r="CX32" i="90"/>
  <c r="CP32" i="90"/>
  <c r="CH32" i="90"/>
  <c r="CW32" i="90"/>
  <c r="CO32" i="90"/>
  <c r="CG32" i="90"/>
  <c r="DD32" i="90"/>
  <c r="CV32" i="90"/>
  <c r="CN32" i="90"/>
  <c r="CF32" i="90"/>
  <c r="DC32" i="90"/>
  <c r="CU32" i="90"/>
  <c r="CM32" i="90"/>
  <c r="CE32" i="90"/>
  <c r="CY32" i="90"/>
  <c r="CI32" i="90"/>
  <c r="CT32" i="90"/>
  <c r="CD32" i="90"/>
  <c r="CS32" i="90"/>
  <c r="CC32" i="90"/>
  <c r="CR32" i="90"/>
  <c r="CB32" i="90"/>
  <c r="CQ32" i="90"/>
  <c r="CA32" i="90"/>
  <c r="DB32" i="90"/>
  <c r="CL32" i="90"/>
  <c r="DA32" i="90"/>
  <c r="CK32" i="90"/>
  <c r="CZ32" i="90"/>
  <c r="CJ32" i="90"/>
  <c r="BI32" i="90"/>
  <c r="BA32" i="90"/>
  <c r="AS32" i="90"/>
  <c r="AK32" i="90"/>
  <c r="BJ32" i="90"/>
  <c r="BH32" i="90"/>
  <c r="AZ32" i="90"/>
  <c r="AR32" i="90"/>
  <c r="AJ32" i="90"/>
  <c r="BG32" i="90"/>
  <c r="AY32" i="90"/>
  <c r="AQ32" i="90"/>
  <c r="AT32" i="90"/>
  <c r="BF32" i="90"/>
  <c r="AX32" i="90"/>
  <c r="AP32" i="90"/>
  <c r="BM32" i="90"/>
  <c r="BE32" i="90"/>
  <c r="AW32" i="90"/>
  <c r="AO32" i="90"/>
  <c r="BB32" i="90"/>
  <c r="BL32" i="90"/>
  <c r="BD32" i="90"/>
  <c r="AV32" i="90"/>
  <c r="AN32" i="90"/>
  <c r="BK32" i="90"/>
  <c r="BC32" i="90"/>
  <c r="AU32" i="90"/>
  <c r="AM32" i="90"/>
  <c r="AL32" i="90"/>
  <c r="CX32" i="92"/>
  <c r="CP32" i="92"/>
  <c r="CG32" i="92"/>
  <c r="CW32" i="92"/>
  <c r="CO32" i="92"/>
  <c r="CF32" i="92"/>
  <c r="DD32" i="92"/>
  <c r="CV32" i="92"/>
  <c r="CN32" i="92"/>
  <c r="CE32" i="92"/>
  <c r="DC32" i="92"/>
  <c r="CU32" i="92"/>
  <c r="CM32" i="92"/>
  <c r="CD32" i="92"/>
  <c r="DB32" i="92"/>
  <c r="CT32" i="92"/>
  <c r="CL32" i="92"/>
  <c r="CC32" i="92"/>
  <c r="DA32" i="92"/>
  <c r="CS32" i="92"/>
  <c r="CK32" i="92"/>
  <c r="CB32" i="92"/>
  <c r="CZ32" i="92"/>
  <c r="CR32" i="92"/>
  <c r="CJ32" i="92"/>
  <c r="CA32" i="92"/>
  <c r="CY32" i="92"/>
  <c r="CQ32" i="92"/>
  <c r="CH32" i="92"/>
  <c r="BM32" i="92"/>
  <c r="BE32" i="92"/>
  <c r="AW32" i="92"/>
  <c r="AN32" i="92"/>
  <c r="BL32" i="92"/>
  <c r="BD32" i="92"/>
  <c r="AV32" i="92"/>
  <c r="AM32" i="92"/>
  <c r="BK32" i="92"/>
  <c r="BC32" i="92"/>
  <c r="AU32" i="92"/>
  <c r="AL32" i="92"/>
  <c r="BJ32" i="92"/>
  <c r="BB32" i="92"/>
  <c r="AT32" i="92"/>
  <c r="AK32" i="92"/>
  <c r="AX32" i="92"/>
  <c r="BI32" i="92"/>
  <c r="BA32" i="92"/>
  <c r="AS32" i="92"/>
  <c r="AJ32" i="92"/>
  <c r="AO32" i="92"/>
  <c r="BH32" i="92"/>
  <c r="AZ32" i="92"/>
  <c r="AQ32" i="92"/>
  <c r="BG32" i="92"/>
  <c r="AY32" i="92"/>
  <c r="AP32" i="92"/>
  <c r="BF32" i="92"/>
  <c r="CI32" i="92"/>
  <c r="AR32" i="92"/>
  <c r="BN31" i="92"/>
  <c r="DB31" i="84"/>
  <c r="CT31" i="84"/>
  <c r="CL31" i="84"/>
  <c r="CD31" i="84"/>
  <c r="DA31" i="84"/>
  <c r="CS31" i="84"/>
  <c r="CK31" i="84"/>
  <c r="CY31" i="84"/>
  <c r="CO31" i="84"/>
  <c r="CE31" i="84"/>
  <c r="CW31" i="84"/>
  <c r="CM31" i="84"/>
  <c r="CB31" i="84"/>
  <c r="CU31" i="84"/>
  <c r="CG31" i="84"/>
  <c r="CR31" i="84"/>
  <c r="CF31" i="84"/>
  <c r="CQ31" i="84"/>
  <c r="CC31" i="84"/>
  <c r="DD31" i="84"/>
  <c r="CP31" i="84"/>
  <c r="CA31" i="84"/>
  <c r="DC31" i="84"/>
  <c r="CN31" i="84"/>
  <c r="CV31" i="84"/>
  <c r="CJ31" i="84"/>
  <c r="CI31" i="84"/>
  <c r="CH31" i="84"/>
  <c r="CZ31" i="84"/>
  <c r="CX31" i="84"/>
  <c r="BJ31" i="84"/>
  <c r="BB31" i="84"/>
  <c r="AT31" i="84"/>
  <c r="AL31" i="84"/>
  <c r="BI31" i="84"/>
  <c r="BA31" i="84"/>
  <c r="AS31" i="84"/>
  <c r="AK31" i="84"/>
  <c r="BH31" i="84"/>
  <c r="AZ31" i="84"/>
  <c r="AR31" i="84"/>
  <c r="AJ31" i="84"/>
  <c r="BG31" i="84"/>
  <c r="AY31" i="84"/>
  <c r="AQ31" i="84"/>
  <c r="BF31" i="84"/>
  <c r="AX31" i="84"/>
  <c r="AP31" i="84"/>
  <c r="BM31" i="84"/>
  <c r="BE31" i="84"/>
  <c r="AW31" i="84"/>
  <c r="AO31" i="84"/>
  <c r="BL31" i="84"/>
  <c r="BD31" i="84"/>
  <c r="AV31" i="84"/>
  <c r="AN31" i="84"/>
  <c r="BK31" i="84"/>
  <c r="BC31" i="84"/>
  <c r="AU31" i="84"/>
  <c r="AM31" i="84"/>
  <c r="CW32" i="86"/>
  <c r="CO32" i="86"/>
  <c r="CG32" i="86"/>
  <c r="DD32" i="86"/>
  <c r="CV32" i="86"/>
  <c r="CN32" i="86"/>
  <c r="CF32" i="86"/>
  <c r="DC32" i="86"/>
  <c r="CU32" i="86"/>
  <c r="CM32" i="86"/>
  <c r="CE32" i="86"/>
  <c r="CY32" i="86"/>
  <c r="CK32" i="86"/>
  <c r="CX32" i="86"/>
  <c r="CJ32" i="86"/>
  <c r="CT32" i="86"/>
  <c r="CI32" i="86"/>
  <c r="CS32" i="86"/>
  <c r="CH32" i="86"/>
  <c r="CR32" i="86"/>
  <c r="CC32" i="86"/>
  <c r="DB32" i="86"/>
  <c r="CQ32" i="86"/>
  <c r="CB32" i="86"/>
  <c r="DA32" i="86"/>
  <c r="CZ32" i="86"/>
  <c r="CP32" i="86"/>
  <c r="CL32" i="86"/>
  <c r="CA32" i="86"/>
  <c r="BK32" i="86"/>
  <c r="BC32" i="86"/>
  <c r="AU32" i="86"/>
  <c r="AL32" i="86"/>
  <c r="BH32" i="86"/>
  <c r="AY32" i="86"/>
  <c r="AP32" i="86"/>
  <c r="BG32" i="86"/>
  <c r="AX32" i="86"/>
  <c r="AO32" i="86"/>
  <c r="BF32" i="86"/>
  <c r="AW32" i="86"/>
  <c r="AN32" i="86"/>
  <c r="BE32" i="86"/>
  <c r="AV32" i="86"/>
  <c r="AK32" i="86"/>
  <c r="BM32" i="86"/>
  <c r="BD32" i="86"/>
  <c r="AT32" i="86"/>
  <c r="AJ32" i="86"/>
  <c r="BL32" i="86"/>
  <c r="BB32" i="86"/>
  <c r="AS32" i="86"/>
  <c r="BJ32" i="86"/>
  <c r="BA32" i="86"/>
  <c r="AR32" i="86"/>
  <c r="BI32" i="86"/>
  <c r="AZ32" i="86"/>
  <c r="AQ32" i="86"/>
  <c r="AM32" i="86"/>
  <c r="CD32" i="86"/>
  <c r="AN31" i="83"/>
  <c r="AV31" i="83"/>
  <c r="BD31" i="83"/>
  <c r="BL31" i="83"/>
  <c r="CA31" i="83"/>
  <c r="CJ31" i="83"/>
  <c r="CR31" i="83"/>
  <c r="CZ31" i="83"/>
  <c r="CT31" i="83"/>
  <c r="AO31" i="83"/>
  <c r="AW31" i="83"/>
  <c r="BE31" i="83"/>
  <c r="BM31" i="83"/>
  <c r="CB31" i="83"/>
  <c r="CK31" i="83"/>
  <c r="CS31" i="83"/>
  <c r="DA31" i="83"/>
  <c r="CD31" i="83"/>
  <c r="DB31" i="83"/>
  <c r="AP31" i="83"/>
  <c r="AX31" i="83"/>
  <c r="BF31" i="83"/>
  <c r="CL31" i="83"/>
  <c r="AQ31" i="83"/>
  <c r="AY31" i="83"/>
  <c r="BG31" i="83"/>
  <c r="CE31" i="83"/>
  <c r="CM31" i="83"/>
  <c r="CU31" i="83"/>
  <c r="DC31" i="83"/>
  <c r="CN31" i="83"/>
  <c r="CV31" i="83"/>
  <c r="AR31" i="83"/>
  <c r="AZ31" i="83"/>
  <c r="BH31" i="83"/>
  <c r="CF31" i="83"/>
  <c r="DD31" i="83"/>
  <c r="AM31" i="83"/>
  <c r="BJ31" i="83"/>
  <c r="CG31" i="83"/>
  <c r="CY31" i="83"/>
  <c r="AS31" i="83"/>
  <c r="BK31" i="83"/>
  <c r="CH31" i="83"/>
  <c r="AT31" i="83"/>
  <c r="CI31" i="83"/>
  <c r="AU31" i="83"/>
  <c r="CO31" i="83"/>
  <c r="BA31" i="83"/>
  <c r="CP31" i="83"/>
  <c r="BB31" i="83"/>
  <c r="CQ31" i="83"/>
  <c r="AJ31" i="83"/>
  <c r="BC31" i="83"/>
  <c r="CW31" i="83"/>
  <c r="AK31" i="83"/>
  <c r="BI31" i="83"/>
  <c r="CX31" i="83"/>
  <c r="AL31" i="83"/>
  <c r="CX31" i="85"/>
  <c r="CP31" i="85"/>
  <c r="CH31" i="85"/>
  <c r="CW31" i="85"/>
  <c r="CO31" i="85"/>
  <c r="CG31" i="85"/>
  <c r="CZ31" i="85"/>
  <c r="CN31" i="85"/>
  <c r="CD31" i="85"/>
  <c r="CY31" i="85"/>
  <c r="CM31" i="85"/>
  <c r="CC31" i="85"/>
  <c r="CV31" i="85"/>
  <c r="CL31" i="85"/>
  <c r="CB31" i="85"/>
  <c r="CU31" i="85"/>
  <c r="CK31" i="85"/>
  <c r="DD31" i="85"/>
  <c r="CT31" i="85"/>
  <c r="CJ31" i="85"/>
  <c r="DC31" i="85"/>
  <c r="CS31" i="85"/>
  <c r="CI31" i="85"/>
  <c r="DB31" i="85"/>
  <c r="CR31" i="85"/>
  <c r="CF31" i="85"/>
  <c r="CQ31" i="85"/>
  <c r="CE31" i="85"/>
  <c r="DA31" i="85"/>
  <c r="BJ31" i="85"/>
  <c r="BI31" i="85"/>
  <c r="BK31" i="85"/>
  <c r="BA31" i="85"/>
  <c r="AS31" i="85"/>
  <c r="AK31" i="85"/>
  <c r="BH31" i="85"/>
  <c r="AZ31" i="85"/>
  <c r="AR31" i="85"/>
  <c r="BG31" i="85"/>
  <c r="AY31" i="85"/>
  <c r="AQ31" i="85"/>
  <c r="BF31" i="85"/>
  <c r="AX31" i="85"/>
  <c r="AP31" i="85"/>
  <c r="BE31" i="85"/>
  <c r="AW31" i="85"/>
  <c r="AO31" i="85"/>
  <c r="BD31" i="85"/>
  <c r="AV31" i="85"/>
  <c r="AN31" i="85"/>
  <c r="BM31" i="85"/>
  <c r="BC31" i="85"/>
  <c r="AU31" i="85"/>
  <c r="AM31" i="85"/>
  <c r="BL31" i="85"/>
  <c r="BB31" i="85"/>
  <c r="AT31" i="85"/>
  <c r="AL31" i="85"/>
  <c r="AJ31" i="85"/>
  <c r="A20" i="95"/>
  <c r="BG30" i="43"/>
  <c r="AG46" i="84"/>
  <c r="AF44" i="88"/>
  <c r="A19" i="47"/>
  <c r="Q29" i="43"/>
  <c r="A19" i="48"/>
  <c r="AS29" i="43"/>
  <c r="AE29" i="43"/>
  <c r="A19" i="49"/>
  <c r="AG46" i="93"/>
  <c r="BN18" i="93"/>
  <c r="BN17" i="85"/>
  <c r="K17" i="85" s="1"/>
  <c r="BN26" i="90"/>
  <c r="K26" i="90" s="1"/>
  <c r="AD46" i="93"/>
  <c r="BN19" i="93"/>
  <c r="K21" i="92"/>
  <c r="BN15" i="89"/>
  <c r="K15" i="89" s="1"/>
  <c r="BN16" i="88"/>
  <c r="K16" i="88" s="1"/>
  <c r="X19" i="23"/>
  <c r="AD19" i="24" s="1"/>
  <c r="T19" i="23"/>
  <c r="Y19" i="24" s="1"/>
  <c r="P18" i="23"/>
  <c r="T18" i="24" s="1"/>
  <c r="DE30" i="85"/>
  <c r="L30" i="85" s="1"/>
  <c r="BN27" i="84"/>
  <c r="BN20" i="84"/>
  <c r="BN29" i="83"/>
  <c r="BN22" i="83"/>
  <c r="BN23" i="88"/>
  <c r="K23" i="88" s="1"/>
  <c r="BN30" i="88"/>
  <c r="K30" i="88" s="1"/>
  <c r="K28" i="92"/>
  <c r="BN19" i="90"/>
  <c r="K19" i="90" s="1"/>
  <c r="BN31" i="90"/>
  <c r="K31" i="90" s="1"/>
  <c r="BN24" i="85"/>
  <c r="K24" i="85" s="1"/>
  <c r="BN30" i="85"/>
  <c r="K30" i="85" s="1"/>
  <c r="BN31" i="91"/>
  <c r="K31" i="91" s="1"/>
  <c r="BN17" i="91"/>
  <c r="K17" i="91" s="1"/>
  <c r="BN29" i="89"/>
  <c r="K29" i="89" s="1"/>
  <c r="BN22" i="89"/>
  <c r="K22" i="89" s="1"/>
  <c r="BN30" i="89"/>
  <c r="K30" i="89" s="1"/>
  <c r="BN16" i="89"/>
  <c r="K16" i="89" s="1"/>
  <c r="BN26" i="87"/>
  <c r="K26" i="87" s="1"/>
  <c r="BN19" i="87"/>
  <c r="K19" i="87" s="1"/>
  <c r="BN31" i="87"/>
  <c r="K31" i="87" s="1"/>
  <c r="BN29" i="86"/>
  <c r="K29" i="86" s="1"/>
  <c r="BN15" i="86"/>
  <c r="K15" i="86" s="1"/>
  <c r="BN22" i="86"/>
  <c r="K22" i="86" s="1"/>
  <c r="AD18" i="25"/>
  <c r="AV18" i="23"/>
  <c r="AT19" i="23"/>
  <c r="AA19" i="25"/>
  <c r="D31" i="93"/>
  <c r="Z20" i="25"/>
  <c r="AS20" i="23"/>
  <c r="B32" i="93"/>
  <c r="A33" i="93"/>
  <c r="AO21" i="23"/>
  <c r="U21" i="25"/>
  <c r="P21" i="25"/>
  <c r="AK21" i="23"/>
  <c r="F20" i="25"/>
  <c r="AC20" i="23"/>
  <c r="U21" i="23"/>
  <c r="Z21" i="24"/>
  <c r="U21" i="24"/>
  <c r="Q21" i="23"/>
  <c r="P20" i="24"/>
  <c r="M20" i="23"/>
  <c r="B32" i="85"/>
  <c r="A33" i="85"/>
  <c r="N19" i="23"/>
  <c r="Q19" i="24"/>
  <c r="D31" i="85"/>
  <c r="I20" i="23"/>
  <c r="K20" i="24"/>
  <c r="F20" i="24"/>
  <c r="E20" i="23"/>
  <c r="V20" i="24"/>
  <c r="R20" i="23"/>
  <c r="L19" i="24"/>
  <c r="J19" i="23"/>
  <c r="F19" i="23"/>
  <c r="G19" i="24"/>
  <c r="AN19" i="23"/>
  <c r="T19" i="25"/>
  <c r="AL20" i="23"/>
  <c r="Q20" i="25"/>
  <c r="Y19" i="25"/>
  <c r="AR19" i="23"/>
  <c r="AP20" i="23"/>
  <c r="V20" i="25"/>
  <c r="G19" i="25"/>
  <c r="AD19" i="23"/>
  <c r="AA20" i="24"/>
  <c r="V20" i="23"/>
  <c r="J18" i="25"/>
  <c r="AF18" i="23"/>
  <c r="AF46" i="84"/>
  <c r="AD44" i="88"/>
  <c r="AG45" i="83"/>
  <c r="AF46" i="86"/>
  <c r="AF51" i="41"/>
  <c r="BU51" i="41"/>
  <c r="L20" i="25"/>
  <c r="AH20" i="23"/>
  <c r="K21" i="25"/>
  <c r="AG21" i="23"/>
  <c r="O19" i="25"/>
  <c r="AJ19" i="23"/>
  <c r="E18" i="25"/>
  <c r="AB18" i="23"/>
  <c r="B19" i="25"/>
  <c r="Z19" i="23"/>
  <c r="Y20" i="23"/>
  <c r="A20" i="25"/>
  <c r="AG46" i="91"/>
  <c r="AF45" i="85"/>
  <c r="AE45" i="83"/>
  <c r="AG45" i="85"/>
  <c r="AE51" i="41"/>
  <c r="AE45" i="85"/>
  <c r="AD45" i="92"/>
  <c r="AG51" i="41"/>
  <c r="AG46" i="87"/>
  <c r="AD46" i="87"/>
  <c r="AD45" i="83"/>
  <c r="AD51" i="41"/>
  <c r="AG45" i="90"/>
  <c r="AF45" i="92"/>
  <c r="AD46" i="89"/>
  <c r="AF45" i="90"/>
  <c r="AE45" i="90"/>
  <c r="AD45" i="90"/>
  <c r="AE46" i="84"/>
  <c r="AF46" i="87"/>
  <c r="AD45" i="85"/>
  <c r="AE45" i="92"/>
  <c r="AE46" i="86"/>
  <c r="AG46" i="86"/>
  <c r="AF46" i="91"/>
  <c r="AE44" i="88"/>
  <c r="AG44" i="88"/>
  <c r="AD46" i="86"/>
  <c r="AF46" i="89"/>
  <c r="AF45" i="83"/>
  <c r="AE46" i="87"/>
  <c r="AD46" i="91"/>
  <c r="AG46" i="89"/>
  <c r="AD46" i="84"/>
  <c r="AE46" i="91"/>
  <c r="AG45" i="92"/>
  <c r="AE46" i="89"/>
  <c r="B13" i="82"/>
  <c r="B33" i="92"/>
  <c r="A34" i="92"/>
  <c r="D32" i="92"/>
  <c r="B33" i="91"/>
  <c r="A34" i="91"/>
  <c r="D32" i="91"/>
  <c r="D32" i="90"/>
  <c r="A34" i="90"/>
  <c r="B33" i="90"/>
  <c r="B32" i="89"/>
  <c r="A33" i="89"/>
  <c r="D31" i="89"/>
  <c r="BO30" i="89"/>
  <c r="D31" i="88"/>
  <c r="A33" i="88"/>
  <c r="B32" i="88"/>
  <c r="D32" i="87"/>
  <c r="B33" i="87"/>
  <c r="A34" i="87"/>
  <c r="B33" i="86"/>
  <c r="A34" i="86"/>
  <c r="D32" i="86"/>
  <c r="D31" i="84"/>
  <c r="L19" i="23" s="1"/>
  <c r="O19" i="24" s="1"/>
  <c r="A33" i="84"/>
  <c r="B32" i="84"/>
  <c r="D31" i="83"/>
  <c r="H19" i="23" s="1"/>
  <c r="J19" i="24" s="1"/>
  <c r="A33" i="83"/>
  <c r="B32" i="83"/>
  <c r="E51" i="43"/>
  <c r="DC32" i="93" l="1"/>
  <c r="CU32" i="93"/>
  <c r="CM32" i="93"/>
  <c r="CE32" i="93"/>
  <c r="DB32" i="93"/>
  <c r="CT32" i="93"/>
  <c r="CL32" i="93"/>
  <c r="DA32" i="93"/>
  <c r="CS32" i="93"/>
  <c r="CK32" i="93"/>
  <c r="CZ32" i="93"/>
  <c r="CR32" i="93"/>
  <c r="CJ32" i="93"/>
  <c r="CB32" i="93"/>
  <c r="CY32" i="93"/>
  <c r="CQ32" i="93"/>
  <c r="CI32" i="93"/>
  <c r="CA32" i="93"/>
  <c r="CN32" i="93"/>
  <c r="CH32" i="93"/>
  <c r="DD32" i="93"/>
  <c r="CG32" i="93"/>
  <c r="CX32" i="93"/>
  <c r="CF32" i="93"/>
  <c r="CW32" i="93"/>
  <c r="CD32" i="93"/>
  <c r="CV32" i="93"/>
  <c r="CC32" i="93"/>
  <c r="CP32" i="93"/>
  <c r="CO32" i="93"/>
  <c r="BL32" i="93"/>
  <c r="BD32" i="93"/>
  <c r="AV32" i="93"/>
  <c r="AN32" i="93"/>
  <c r="BK32" i="93"/>
  <c r="BC32" i="93"/>
  <c r="AU32" i="93"/>
  <c r="AM32" i="93"/>
  <c r="BJ32" i="93"/>
  <c r="BB32" i="93"/>
  <c r="AT32" i="93"/>
  <c r="AL32" i="93"/>
  <c r="BH32" i="93"/>
  <c r="AZ32" i="93"/>
  <c r="AR32" i="93"/>
  <c r="AJ32" i="93"/>
  <c r="BF32" i="93"/>
  <c r="AX32" i="93"/>
  <c r="AP32" i="93"/>
  <c r="BM32" i="93"/>
  <c r="BE32" i="93"/>
  <c r="AW32" i="93"/>
  <c r="AO32" i="93"/>
  <c r="AS32" i="93"/>
  <c r="AQ32" i="93"/>
  <c r="AK32" i="93"/>
  <c r="BI32" i="93"/>
  <c r="BG32" i="93"/>
  <c r="BA32" i="93"/>
  <c r="AY32" i="93"/>
  <c r="BO32" i="92"/>
  <c r="BM33" i="91"/>
  <c r="BE33" i="91"/>
  <c r="AW33" i="91"/>
  <c r="AN33" i="91"/>
  <c r="BL33" i="91"/>
  <c r="BD33" i="91"/>
  <c r="AV33" i="91"/>
  <c r="AM33" i="91"/>
  <c r="BK33" i="91"/>
  <c r="BC33" i="91"/>
  <c r="AU33" i="91"/>
  <c r="AL33" i="91"/>
  <c r="BJ33" i="91"/>
  <c r="BB33" i="91"/>
  <c r="AT33" i="91"/>
  <c r="AK33" i="91"/>
  <c r="BI33" i="91"/>
  <c r="BA33" i="91"/>
  <c r="AS33" i="91"/>
  <c r="AJ33" i="91"/>
  <c r="BH33" i="91"/>
  <c r="AZ33" i="91"/>
  <c r="AR33" i="91"/>
  <c r="BG33" i="91"/>
  <c r="AY33" i="91"/>
  <c r="AQ33" i="91"/>
  <c r="AO33" i="91"/>
  <c r="BF33" i="91"/>
  <c r="CW33" i="91"/>
  <c r="CO33" i="91"/>
  <c r="CF33" i="91"/>
  <c r="DD33" i="91"/>
  <c r="CV33" i="91"/>
  <c r="CN33" i="91"/>
  <c r="CE33" i="91"/>
  <c r="DC33" i="91"/>
  <c r="CU33" i="91"/>
  <c r="CM33" i="91"/>
  <c r="CD33" i="91"/>
  <c r="DB33" i="91"/>
  <c r="CT33" i="91"/>
  <c r="CL33" i="91"/>
  <c r="CC33" i="91"/>
  <c r="DA33" i="91"/>
  <c r="CS33" i="91"/>
  <c r="CK33" i="91"/>
  <c r="CB33" i="91"/>
  <c r="AX33" i="91"/>
  <c r="CP33" i="91"/>
  <c r="CJ33" i="91"/>
  <c r="CZ33" i="91"/>
  <c r="CH33" i="91"/>
  <c r="CY33" i="91"/>
  <c r="CA33" i="91"/>
  <c r="CX33" i="91"/>
  <c r="CR33" i="91"/>
  <c r="CQ33" i="91"/>
  <c r="CI33" i="91"/>
  <c r="AP33" i="91"/>
  <c r="CG33" i="91"/>
  <c r="DB32" i="89"/>
  <c r="CT32" i="89"/>
  <c r="CL32" i="89"/>
  <c r="CD32" i="89"/>
  <c r="DA32" i="89"/>
  <c r="CS32" i="89"/>
  <c r="CK32" i="89"/>
  <c r="CB32" i="89"/>
  <c r="CZ32" i="89"/>
  <c r="CR32" i="89"/>
  <c r="CJ32" i="89"/>
  <c r="CA32" i="89"/>
  <c r="CY32" i="89"/>
  <c r="CQ32" i="89"/>
  <c r="CI32" i="89"/>
  <c r="CW32" i="89"/>
  <c r="CO32" i="89"/>
  <c r="CG32" i="89"/>
  <c r="DD32" i="89"/>
  <c r="CV32" i="89"/>
  <c r="CN32" i="89"/>
  <c r="CF32" i="89"/>
  <c r="DC32" i="89"/>
  <c r="CU32" i="89"/>
  <c r="CM32" i="89"/>
  <c r="CE32" i="89"/>
  <c r="CH32" i="89"/>
  <c r="CX32" i="89"/>
  <c r="CP32" i="89"/>
  <c r="BL32" i="89"/>
  <c r="BD32" i="89"/>
  <c r="AV32" i="89"/>
  <c r="AN32" i="89"/>
  <c r="BK32" i="89"/>
  <c r="BC32" i="89"/>
  <c r="AU32" i="89"/>
  <c r="AM32" i="89"/>
  <c r="BJ32" i="89"/>
  <c r="BB32" i="89"/>
  <c r="AT32" i="89"/>
  <c r="AK32" i="89"/>
  <c r="BI32" i="89"/>
  <c r="BA32" i="89"/>
  <c r="AS32" i="89"/>
  <c r="AJ32" i="89"/>
  <c r="BH32" i="89"/>
  <c r="AZ32" i="89"/>
  <c r="AR32" i="89"/>
  <c r="BG32" i="89"/>
  <c r="AY32" i="89"/>
  <c r="AQ32" i="89"/>
  <c r="BF32" i="89"/>
  <c r="AX32" i="89"/>
  <c r="AP32" i="89"/>
  <c r="BM32" i="89"/>
  <c r="BE32" i="89"/>
  <c r="AW32" i="89"/>
  <c r="AO32" i="89"/>
  <c r="AL32" i="89"/>
  <c r="CZ33" i="92"/>
  <c r="CR33" i="92"/>
  <c r="CJ33" i="92"/>
  <c r="CB33" i="92"/>
  <c r="CY33" i="92"/>
  <c r="CQ33" i="92"/>
  <c r="CI33" i="92"/>
  <c r="CA33" i="92"/>
  <c r="CX33" i="92"/>
  <c r="CP33" i="92"/>
  <c r="CH33" i="92"/>
  <c r="CW33" i="92"/>
  <c r="CO33" i="92"/>
  <c r="CG33" i="92"/>
  <c r="DD33" i="92"/>
  <c r="CV33" i="92"/>
  <c r="CN33" i="92"/>
  <c r="CF33" i="92"/>
  <c r="DC33" i="92"/>
  <c r="CU33" i="92"/>
  <c r="CM33" i="92"/>
  <c r="CE33" i="92"/>
  <c r="DB33" i="92"/>
  <c r="CT33" i="92"/>
  <c r="CL33" i="92"/>
  <c r="CD33" i="92"/>
  <c r="DA33" i="92"/>
  <c r="CS33" i="92"/>
  <c r="CK33" i="92"/>
  <c r="CC33" i="92"/>
  <c r="BG33" i="92"/>
  <c r="AY33" i="92"/>
  <c r="AQ33" i="92"/>
  <c r="AZ33" i="92"/>
  <c r="BF33" i="92"/>
  <c r="AX33" i="92"/>
  <c r="AP33" i="92"/>
  <c r="BM33" i="92"/>
  <c r="BE33" i="92"/>
  <c r="AW33" i="92"/>
  <c r="AO33" i="92"/>
  <c r="BL33" i="92"/>
  <c r="BD33" i="92"/>
  <c r="AV33" i="92"/>
  <c r="AN33" i="92"/>
  <c r="BK33" i="92"/>
  <c r="BC33" i="92"/>
  <c r="AU33" i="92"/>
  <c r="AM33" i="92"/>
  <c r="AR33" i="92"/>
  <c r="BJ33" i="92"/>
  <c r="BB33" i="92"/>
  <c r="AT33" i="92"/>
  <c r="AL33" i="92"/>
  <c r="BI33" i="92"/>
  <c r="BA33" i="92"/>
  <c r="AS33" i="92"/>
  <c r="AK33" i="92"/>
  <c r="BH33" i="92"/>
  <c r="AJ33" i="92"/>
  <c r="DB33" i="87"/>
  <c r="CT33" i="87"/>
  <c r="CL33" i="87"/>
  <c r="CD33" i="87"/>
  <c r="DA33" i="87"/>
  <c r="CS33" i="87"/>
  <c r="CK33" i="87"/>
  <c r="CC33" i="87"/>
  <c r="CZ33" i="87"/>
  <c r="CR33" i="87"/>
  <c r="CJ33" i="87"/>
  <c r="CB33" i="87"/>
  <c r="CY33" i="87"/>
  <c r="CQ33" i="87"/>
  <c r="CI33" i="87"/>
  <c r="CX33" i="87"/>
  <c r="CP33" i="87"/>
  <c r="CH33" i="87"/>
  <c r="CW33" i="87"/>
  <c r="CO33" i="87"/>
  <c r="CG33" i="87"/>
  <c r="DD33" i="87"/>
  <c r="CV33" i="87"/>
  <c r="CN33" i="87"/>
  <c r="CF33" i="87"/>
  <c r="DC33" i="87"/>
  <c r="CU33" i="87"/>
  <c r="CM33" i="87"/>
  <c r="CE33" i="87"/>
  <c r="BL33" i="87"/>
  <c r="BD33" i="87"/>
  <c r="AV33" i="87"/>
  <c r="AN33" i="87"/>
  <c r="BK33" i="87"/>
  <c r="BC33" i="87"/>
  <c r="AU33" i="87"/>
  <c r="AM33" i="87"/>
  <c r="BJ33" i="87"/>
  <c r="BB33" i="87"/>
  <c r="AT33" i="87"/>
  <c r="AL33" i="87"/>
  <c r="BI33" i="87"/>
  <c r="BA33" i="87"/>
  <c r="AS33" i="87"/>
  <c r="AK33" i="87"/>
  <c r="BH33" i="87"/>
  <c r="AZ33" i="87"/>
  <c r="AR33" i="87"/>
  <c r="BG33" i="87"/>
  <c r="AY33" i="87"/>
  <c r="AQ33" i="87"/>
  <c r="BF33" i="87"/>
  <c r="AX33" i="87"/>
  <c r="AP33" i="87"/>
  <c r="BM33" i="87"/>
  <c r="BE33" i="87"/>
  <c r="AW33" i="87"/>
  <c r="AO33" i="87"/>
  <c r="AJ33" i="87"/>
  <c r="CZ33" i="90"/>
  <c r="CR33" i="90"/>
  <c r="CJ33" i="90"/>
  <c r="CB33" i="90"/>
  <c r="CY33" i="90"/>
  <c r="CQ33" i="90"/>
  <c r="CI33" i="90"/>
  <c r="CA33" i="90"/>
  <c r="CX33" i="90"/>
  <c r="CP33" i="90"/>
  <c r="CH33" i="90"/>
  <c r="CW33" i="90"/>
  <c r="CO33" i="90"/>
  <c r="CG33" i="90"/>
  <c r="DD33" i="90"/>
  <c r="CV33" i="90"/>
  <c r="DC33" i="90"/>
  <c r="CU33" i="90"/>
  <c r="CK33" i="90"/>
  <c r="DB33" i="90"/>
  <c r="CF33" i="90"/>
  <c r="DA33" i="90"/>
  <c r="CE33" i="90"/>
  <c r="CT33" i="90"/>
  <c r="CD33" i="90"/>
  <c r="CS33" i="90"/>
  <c r="CC33" i="90"/>
  <c r="CN33" i="90"/>
  <c r="CM33" i="90"/>
  <c r="CL33" i="90"/>
  <c r="BK33" i="90"/>
  <c r="BC33" i="90"/>
  <c r="AU33" i="90"/>
  <c r="AM33" i="90"/>
  <c r="BJ33" i="90"/>
  <c r="BB33" i="90"/>
  <c r="AT33" i="90"/>
  <c r="AL33" i="90"/>
  <c r="BL33" i="90"/>
  <c r="BI33" i="90"/>
  <c r="BA33" i="90"/>
  <c r="AS33" i="90"/>
  <c r="AK33" i="90"/>
  <c r="BD33" i="90"/>
  <c r="BH33" i="90"/>
  <c r="AZ33" i="90"/>
  <c r="AR33" i="90"/>
  <c r="AJ33" i="90"/>
  <c r="AV33" i="90"/>
  <c r="BG33" i="90"/>
  <c r="AY33" i="90"/>
  <c r="AQ33" i="90"/>
  <c r="BF33" i="90"/>
  <c r="AX33" i="90"/>
  <c r="AP33" i="90"/>
  <c r="BM33" i="90"/>
  <c r="BE33" i="90"/>
  <c r="AW33" i="90"/>
  <c r="AO33" i="90"/>
  <c r="AN33" i="90"/>
  <c r="CI32" i="88"/>
  <c r="CQ32" i="88"/>
  <c r="CZ32" i="88"/>
  <c r="CA32" i="88"/>
  <c r="CJ32" i="88"/>
  <c r="CS32" i="88"/>
  <c r="DA32" i="88"/>
  <c r="CB32" i="88"/>
  <c r="CK32" i="88"/>
  <c r="CT32" i="88"/>
  <c r="DB32" i="88"/>
  <c r="CD32" i="88"/>
  <c r="CL32" i="88"/>
  <c r="CU32" i="88"/>
  <c r="DC32" i="88"/>
  <c r="CE32" i="88"/>
  <c r="CM32" i="88"/>
  <c r="CV32" i="88"/>
  <c r="DD32" i="88"/>
  <c r="CH32" i="88"/>
  <c r="CN32" i="88"/>
  <c r="CO32" i="88"/>
  <c r="CP32" i="88"/>
  <c r="CW32" i="88"/>
  <c r="CX32" i="88"/>
  <c r="CF32" i="88"/>
  <c r="CY32" i="88"/>
  <c r="CG32" i="88"/>
  <c r="AP32" i="88"/>
  <c r="AX32" i="88"/>
  <c r="BG32" i="88"/>
  <c r="AQ32" i="88"/>
  <c r="AY32" i="88"/>
  <c r="BH32" i="88"/>
  <c r="AR32" i="88"/>
  <c r="AZ32" i="88"/>
  <c r="BI32" i="88"/>
  <c r="AJ32" i="88"/>
  <c r="AS32" i="88"/>
  <c r="BB32" i="88"/>
  <c r="BJ32" i="88"/>
  <c r="AK32" i="88"/>
  <c r="AT32" i="88"/>
  <c r="BC32" i="88"/>
  <c r="BK32" i="88"/>
  <c r="AM32" i="88"/>
  <c r="AU32" i="88"/>
  <c r="BD32" i="88"/>
  <c r="BL32" i="88"/>
  <c r="AN32" i="88"/>
  <c r="AV32" i="88"/>
  <c r="BE32" i="88"/>
  <c r="BM32" i="88"/>
  <c r="AW32" i="88"/>
  <c r="AO32" i="88"/>
  <c r="BF32" i="88"/>
  <c r="CR32" i="88"/>
  <c r="AL32" i="88"/>
  <c r="BA32" i="88"/>
  <c r="BN32" i="92"/>
  <c r="DD32" i="84"/>
  <c r="CV32" i="84"/>
  <c r="CN32" i="84"/>
  <c r="CF32" i="84"/>
  <c r="DC32" i="84"/>
  <c r="CU32" i="84"/>
  <c r="CM32" i="84"/>
  <c r="CE32" i="84"/>
  <c r="DA32" i="84"/>
  <c r="CQ32" i="84"/>
  <c r="CG32" i="84"/>
  <c r="CY32" i="84"/>
  <c r="CO32" i="84"/>
  <c r="CC32" i="84"/>
  <c r="CS32" i="84"/>
  <c r="CD32" i="84"/>
  <c r="CR32" i="84"/>
  <c r="CB32" i="84"/>
  <c r="CP32" i="84"/>
  <c r="CA32" i="84"/>
  <c r="DB32" i="84"/>
  <c r="CL32" i="84"/>
  <c r="CZ32" i="84"/>
  <c r="CK32" i="84"/>
  <c r="CX32" i="84"/>
  <c r="CW32" i="84"/>
  <c r="CT32" i="84"/>
  <c r="CJ32" i="84"/>
  <c r="CI32" i="84"/>
  <c r="CH32" i="84"/>
  <c r="BL32" i="84"/>
  <c r="BD32" i="84"/>
  <c r="AV32" i="84"/>
  <c r="AN32" i="84"/>
  <c r="BK32" i="84"/>
  <c r="BC32" i="84"/>
  <c r="AU32" i="84"/>
  <c r="AM32" i="84"/>
  <c r="BJ32" i="84"/>
  <c r="BB32" i="84"/>
  <c r="AT32" i="84"/>
  <c r="AL32" i="84"/>
  <c r="BI32" i="84"/>
  <c r="BA32" i="84"/>
  <c r="AS32" i="84"/>
  <c r="AK32" i="84"/>
  <c r="BH32" i="84"/>
  <c r="AZ32" i="84"/>
  <c r="AR32" i="84"/>
  <c r="AJ32" i="84"/>
  <c r="BG32" i="84"/>
  <c r="AY32" i="84"/>
  <c r="AQ32" i="84"/>
  <c r="BF32" i="84"/>
  <c r="AX32" i="84"/>
  <c r="AP32" i="84"/>
  <c r="AO32" i="84"/>
  <c r="BM32" i="84"/>
  <c r="BE32" i="84"/>
  <c r="AW32" i="84"/>
  <c r="AQ32" i="83"/>
  <c r="AY32" i="83"/>
  <c r="BG32" i="83"/>
  <c r="CE32" i="83"/>
  <c r="CM32" i="83"/>
  <c r="CU32" i="83"/>
  <c r="DC32" i="83"/>
  <c r="CG32" i="83"/>
  <c r="CY32" i="83"/>
  <c r="AR32" i="83"/>
  <c r="AZ32" i="83"/>
  <c r="BH32" i="83"/>
  <c r="CF32" i="83"/>
  <c r="CN32" i="83"/>
  <c r="CV32" i="83"/>
  <c r="DD32" i="83"/>
  <c r="CO32" i="83"/>
  <c r="CQ32" i="83"/>
  <c r="AJ32" i="83"/>
  <c r="AS32" i="83"/>
  <c r="BA32" i="83"/>
  <c r="BI32" i="83"/>
  <c r="CW32" i="83"/>
  <c r="AK32" i="83"/>
  <c r="AT32" i="83"/>
  <c r="BB32" i="83"/>
  <c r="BJ32" i="83"/>
  <c r="CH32" i="83"/>
  <c r="CP32" i="83"/>
  <c r="CX32" i="83"/>
  <c r="CI32" i="83"/>
  <c r="AL32" i="83"/>
  <c r="AU32" i="83"/>
  <c r="BC32" i="83"/>
  <c r="BK32" i="83"/>
  <c r="BD32" i="83"/>
  <c r="CS32" i="83"/>
  <c r="BE32" i="83"/>
  <c r="CA32" i="83"/>
  <c r="CT32" i="83"/>
  <c r="AN32" i="83"/>
  <c r="BF32" i="83"/>
  <c r="CB32" i="83"/>
  <c r="CZ32" i="83"/>
  <c r="AO32" i="83"/>
  <c r="BL32" i="83"/>
  <c r="CC32" i="83"/>
  <c r="DA32" i="83"/>
  <c r="AP32" i="83"/>
  <c r="BM32" i="83"/>
  <c r="CJ32" i="83"/>
  <c r="DB32" i="83"/>
  <c r="AV32" i="83"/>
  <c r="CK32" i="83"/>
  <c r="AW32" i="83"/>
  <c r="CL32" i="83"/>
  <c r="AX32" i="83"/>
  <c r="CR32" i="83"/>
  <c r="CD32" i="83"/>
  <c r="AM32" i="83"/>
  <c r="CY33" i="86"/>
  <c r="CQ33" i="86"/>
  <c r="CI33" i="86"/>
  <c r="CA33" i="86"/>
  <c r="CX33" i="86"/>
  <c r="CP33" i="86"/>
  <c r="CH33" i="86"/>
  <c r="CW33" i="86"/>
  <c r="CO33" i="86"/>
  <c r="CG33" i="86"/>
  <c r="CT33" i="86"/>
  <c r="CF33" i="86"/>
  <c r="DD33" i="86"/>
  <c r="CS33" i="86"/>
  <c r="CE33" i="86"/>
  <c r="DC33" i="86"/>
  <c r="CR33" i="86"/>
  <c r="CD33" i="86"/>
  <c r="DB33" i="86"/>
  <c r="CN33" i="86"/>
  <c r="CC33" i="86"/>
  <c r="DA33" i="86"/>
  <c r="CM33" i="86"/>
  <c r="CB33" i="86"/>
  <c r="CZ33" i="86"/>
  <c r="CL33" i="86"/>
  <c r="CU33" i="86"/>
  <c r="CJ33" i="86"/>
  <c r="CV33" i="86"/>
  <c r="CK33" i="86"/>
  <c r="BM33" i="86"/>
  <c r="BE33" i="86"/>
  <c r="AW33" i="86"/>
  <c r="AO33" i="86"/>
  <c r="BF33" i="86"/>
  <c r="AV33" i="86"/>
  <c r="AM33" i="86"/>
  <c r="BD33" i="86"/>
  <c r="AU33" i="86"/>
  <c r="AL33" i="86"/>
  <c r="BL33" i="86"/>
  <c r="BC33" i="86"/>
  <c r="AT33" i="86"/>
  <c r="AK33" i="86"/>
  <c r="BK33" i="86"/>
  <c r="BB33" i="86"/>
  <c r="AS33" i="86"/>
  <c r="AJ33" i="86"/>
  <c r="BJ33" i="86"/>
  <c r="BA33" i="86"/>
  <c r="AR33" i="86"/>
  <c r="BI33" i="86"/>
  <c r="AZ33" i="86"/>
  <c r="AQ33" i="86"/>
  <c r="BH33" i="86"/>
  <c r="AY33" i="86"/>
  <c r="AP33" i="86"/>
  <c r="BG33" i="86"/>
  <c r="AX33" i="86"/>
  <c r="AN33" i="86"/>
  <c r="DA32" i="85"/>
  <c r="CS32" i="85"/>
  <c r="CK32" i="85"/>
  <c r="CC32" i="85"/>
  <c r="CZ32" i="85"/>
  <c r="CR32" i="85"/>
  <c r="CJ32" i="85"/>
  <c r="CA32" i="85"/>
  <c r="DC32" i="85"/>
  <c r="CQ32" i="85"/>
  <c r="CG32" i="85"/>
  <c r="DB32" i="85"/>
  <c r="CP32" i="85"/>
  <c r="CF32" i="85"/>
  <c r="CY32" i="85"/>
  <c r="CO32" i="85"/>
  <c r="CE32" i="85"/>
  <c r="CX32" i="85"/>
  <c r="CN32" i="85"/>
  <c r="CD32" i="85"/>
  <c r="CW32" i="85"/>
  <c r="CM32" i="85"/>
  <c r="CV32" i="85"/>
  <c r="CL32" i="85"/>
  <c r="CU32" i="85"/>
  <c r="CI32" i="85"/>
  <c r="DD32" i="85"/>
  <c r="CT32" i="85"/>
  <c r="CH32" i="85"/>
  <c r="BM32" i="85"/>
  <c r="BE32" i="85"/>
  <c r="AW32" i="85"/>
  <c r="AO32" i="85"/>
  <c r="BL32" i="85"/>
  <c r="BD32" i="85"/>
  <c r="AV32" i="85"/>
  <c r="AN32" i="85"/>
  <c r="BB32" i="85"/>
  <c r="AR32" i="85"/>
  <c r="BK32" i="85"/>
  <c r="BA32" i="85"/>
  <c r="AQ32" i="85"/>
  <c r="BJ32" i="85"/>
  <c r="AZ32" i="85"/>
  <c r="AP32" i="85"/>
  <c r="BI32" i="85"/>
  <c r="AY32" i="85"/>
  <c r="AM32" i="85"/>
  <c r="BH32" i="85"/>
  <c r="AX32" i="85"/>
  <c r="AL32" i="85"/>
  <c r="BG32" i="85"/>
  <c r="AU32" i="85"/>
  <c r="AJ32" i="85"/>
  <c r="BF32" i="85"/>
  <c r="AT32" i="85"/>
  <c r="BC32" i="85"/>
  <c r="AS32" i="85"/>
  <c r="CA33" i="87"/>
  <c r="CA19" i="87"/>
  <c r="CA26" i="87"/>
  <c r="CA23" i="89"/>
  <c r="DE23" i="89" s="1"/>
  <c r="L23" i="89" s="1"/>
  <c r="CA29" i="86"/>
  <c r="CA20" i="84"/>
  <c r="CA17" i="85"/>
  <c r="CA29" i="83"/>
  <c r="CA16" i="88"/>
  <c r="CA16" i="89"/>
  <c r="DE16" i="89" s="1"/>
  <c r="L16" i="89" s="1"/>
  <c r="CA22" i="86"/>
  <c r="CA15" i="86"/>
  <c r="CA31" i="85"/>
  <c r="CA30" i="88"/>
  <c r="CA30" i="89"/>
  <c r="DE30" i="89" s="1"/>
  <c r="L30" i="89" s="1"/>
  <c r="CA24" i="85"/>
  <c r="CA22" i="83"/>
  <c r="CA15" i="83"/>
  <c r="B20" i="95"/>
  <c r="BF31" i="43"/>
  <c r="DE15" i="92"/>
  <c r="L15" i="92" s="1"/>
  <c r="DE18" i="91"/>
  <c r="L18" i="91" s="1"/>
  <c r="DE20" i="93"/>
  <c r="L20" i="93" s="1"/>
  <c r="DE22" i="92"/>
  <c r="L22" i="92" s="1"/>
  <c r="DE25" i="91"/>
  <c r="L25" i="91" s="1"/>
  <c r="DE27" i="90"/>
  <c r="L27" i="90" s="1"/>
  <c r="DE27" i="93"/>
  <c r="L27" i="93" s="1"/>
  <c r="DE29" i="92"/>
  <c r="L29" i="92" s="1"/>
  <c r="P30" i="43"/>
  <c r="B19" i="47"/>
  <c r="B19" i="48"/>
  <c r="AR30" i="43"/>
  <c r="AD30" i="43"/>
  <c r="B19" i="49"/>
  <c r="BN31" i="93"/>
  <c r="DE32" i="91"/>
  <c r="L32" i="91" s="1"/>
  <c r="X20" i="23"/>
  <c r="AD20" i="24" s="1"/>
  <c r="DE32" i="87"/>
  <c r="L32" i="87" s="1"/>
  <c r="T20" i="23"/>
  <c r="Y20" i="24" s="1"/>
  <c r="P19" i="23"/>
  <c r="T19" i="24" s="1"/>
  <c r="BN31" i="85"/>
  <c r="K31" i="85" s="1"/>
  <c r="BN32" i="90"/>
  <c r="K32" i="90" s="1"/>
  <c r="BN32" i="91"/>
  <c r="K32" i="91" s="1"/>
  <c r="BN32" i="87"/>
  <c r="K32" i="87" s="1"/>
  <c r="Z21" i="25"/>
  <c r="AS21" i="23"/>
  <c r="A34" i="93"/>
  <c r="B33" i="93"/>
  <c r="AA20" i="25"/>
  <c r="AT20" i="23"/>
  <c r="D32" i="93"/>
  <c r="AD19" i="25"/>
  <c r="AV19" i="23"/>
  <c r="AO22" i="23"/>
  <c r="U22" i="25"/>
  <c r="P22" i="25"/>
  <c r="AK22" i="23"/>
  <c r="F21" i="25"/>
  <c r="AC21" i="23"/>
  <c r="U22" i="23"/>
  <c r="Z22" i="24"/>
  <c r="U22" i="24"/>
  <c r="Q22" i="23"/>
  <c r="M21" i="23"/>
  <c r="P21" i="24"/>
  <c r="B33" i="85"/>
  <c r="A34" i="85"/>
  <c r="D32" i="85"/>
  <c r="Q20" i="24"/>
  <c r="N20" i="23"/>
  <c r="K21" i="24"/>
  <c r="I21" i="23"/>
  <c r="F21" i="24"/>
  <c r="E21" i="23"/>
  <c r="V21" i="24"/>
  <c r="R21" i="23"/>
  <c r="L20" i="24"/>
  <c r="J20" i="23"/>
  <c r="F20" i="23"/>
  <c r="G20" i="24"/>
  <c r="AD20" i="23"/>
  <c r="G20" i="25"/>
  <c r="AR20" i="23"/>
  <c r="Y20" i="25"/>
  <c r="V21" i="25"/>
  <c r="AP21" i="23"/>
  <c r="AF19" i="23"/>
  <c r="J19" i="25"/>
  <c r="T20" i="25"/>
  <c r="AN20" i="23"/>
  <c r="V21" i="23"/>
  <c r="AA21" i="24"/>
  <c r="Q21" i="25"/>
  <c r="AL21" i="23"/>
  <c r="BN30" i="84"/>
  <c r="BN25" i="83"/>
  <c r="BN19" i="88"/>
  <c r="K19" i="88" s="1"/>
  <c r="BN22" i="87"/>
  <c r="K22" i="87" s="1"/>
  <c r="BN16" i="84"/>
  <c r="BN20" i="85"/>
  <c r="K20" i="85" s="1"/>
  <c r="BN18" i="86"/>
  <c r="K18" i="86" s="1"/>
  <c r="BN18" i="83"/>
  <c r="BN29" i="87"/>
  <c r="K29" i="87" s="1"/>
  <c r="BN27" i="85"/>
  <c r="K27" i="85" s="1"/>
  <c r="BN26" i="88"/>
  <c r="K26" i="88" s="1"/>
  <c r="AH21" i="23"/>
  <c r="L21" i="25"/>
  <c r="AG22" i="23"/>
  <c r="K22" i="25"/>
  <c r="AJ20" i="23"/>
  <c r="O20" i="25"/>
  <c r="Z20" i="23"/>
  <c r="B20" i="25"/>
  <c r="Y21" i="23"/>
  <c r="A21" i="25"/>
  <c r="E19" i="25"/>
  <c r="AB19" i="23"/>
  <c r="C13" i="82"/>
  <c r="B5" i="94" s="1"/>
  <c r="A5" i="94"/>
  <c r="B34" i="92"/>
  <c r="A35" i="92"/>
  <c r="D33" i="92"/>
  <c r="BO32" i="91"/>
  <c r="B34" i="91"/>
  <c r="A35" i="91"/>
  <c r="D33" i="91"/>
  <c r="D33" i="90"/>
  <c r="B34" i="90"/>
  <c r="A35" i="90"/>
  <c r="B33" i="89"/>
  <c r="A34" i="89"/>
  <c r="D32" i="89"/>
  <c r="D32" i="88"/>
  <c r="B33" i="88"/>
  <c r="A34" i="88"/>
  <c r="B34" i="87"/>
  <c r="A35" i="87"/>
  <c r="D33" i="87"/>
  <c r="B34" i="86"/>
  <c r="A35" i="86"/>
  <c r="D33" i="86"/>
  <c r="D32" i="84"/>
  <c r="L20" i="23" s="1"/>
  <c r="O20" i="24" s="1"/>
  <c r="A34" i="84"/>
  <c r="B33" i="84"/>
  <c r="D32" i="83"/>
  <c r="H20" i="23" s="1"/>
  <c r="J20" i="24" s="1"/>
  <c r="A34" i="83"/>
  <c r="B33" i="83"/>
  <c r="G58" i="50"/>
  <c r="G57" i="50"/>
  <c r="G56" i="50"/>
  <c r="G49" i="50"/>
  <c r="G48" i="50"/>
  <c r="G40" i="50"/>
  <c r="G39" i="50"/>
  <c r="G38" i="50"/>
  <c r="G31" i="50"/>
  <c r="G30" i="50"/>
  <c r="F56" i="50"/>
  <c r="F36" i="50"/>
  <c r="F45" i="50" s="1"/>
  <c r="F54" i="50" s="1"/>
  <c r="H28" i="50"/>
  <c r="H37" i="50" s="1"/>
  <c r="H46" i="50" s="1"/>
  <c r="H55" i="50" s="1"/>
  <c r="G28" i="50"/>
  <c r="G37" i="50" s="1"/>
  <c r="G46" i="50" s="1"/>
  <c r="G55" i="50" s="1"/>
  <c r="F28" i="50"/>
  <c r="F37" i="50" s="1"/>
  <c r="F46" i="50" s="1"/>
  <c r="F55" i="50" s="1"/>
  <c r="F29" i="50"/>
  <c r="M51" i="41"/>
  <c r="J27" i="1" s="1"/>
  <c r="S51" i="41"/>
  <c r="B14" i="43"/>
  <c r="C14" i="43" s="1"/>
  <c r="DC34" i="90" l="1"/>
  <c r="CU34" i="90"/>
  <c r="CM34" i="90"/>
  <c r="CD34" i="90"/>
  <c r="DB34" i="90"/>
  <c r="CT34" i="90"/>
  <c r="CL34" i="90"/>
  <c r="CC34" i="90"/>
  <c r="DA34" i="90"/>
  <c r="CS34" i="90"/>
  <c r="CK34" i="90"/>
  <c r="CB34" i="90"/>
  <c r="CZ34" i="90"/>
  <c r="CR34" i="90"/>
  <c r="CJ34" i="90"/>
  <c r="CA34" i="90"/>
  <c r="CY34" i="90"/>
  <c r="CQ34" i="90"/>
  <c r="CI34" i="90"/>
  <c r="CX34" i="90"/>
  <c r="CP34" i="90"/>
  <c r="CH34" i="90"/>
  <c r="CE34" i="90"/>
  <c r="DD34" i="90"/>
  <c r="CW34" i="90"/>
  <c r="CV34" i="90"/>
  <c r="CO34" i="90"/>
  <c r="CN34" i="90"/>
  <c r="CG34" i="90"/>
  <c r="BF34" i="90"/>
  <c r="AX34" i="90"/>
  <c r="AP34" i="90"/>
  <c r="AQ34" i="90"/>
  <c r="BM34" i="90"/>
  <c r="BE34" i="90"/>
  <c r="AW34" i="90"/>
  <c r="AN34" i="90"/>
  <c r="BL34" i="90"/>
  <c r="BD34" i="90"/>
  <c r="AV34" i="90"/>
  <c r="AM34" i="90"/>
  <c r="BK34" i="90"/>
  <c r="BC34" i="90"/>
  <c r="AU34" i="90"/>
  <c r="AL34" i="90"/>
  <c r="BJ34" i="90"/>
  <c r="BB34" i="90"/>
  <c r="AT34" i="90"/>
  <c r="AK34" i="90"/>
  <c r="AY34" i="90"/>
  <c r="BI34" i="90"/>
  <c r="BA34" i="90"/>
  <c r="AS34" i="90"/>
  <c r="AJ34" i="90"/>
  <c r="BH34" i="90"/>
  <c r="AZ34" i="90"/>
  <c r="AR34" i="90"/>
  <c r="BG34" i="90"/>
  <c r="AO34" i="90"/>
  <c r="CF34" i="90"/>
  <c r="DB34" i="92"/>
  <c r="CT34" i="92"/>
  <c r="CL34" i="92"/>
  <c r="CD34" i="92"/>
  <c r="DA34" i="92"/>
  <c r="CS34" i="92"/>
  <c r="CK34" i="92"/>
  <c r="CC34" i="92"/>
  <c r="CZ34" i="92"/>
  <c r="CR34" i="92"/>
  <c r="CJ34" i="92"/>
  <c r="CB34" i="92"/>
  <c r="CY34" i="92"/>
  <c r="CQ34" i="92"/>
  <c r="CI34" i="92"/>
  <c r="CA34" i="92"/>
  <c r="CX34" i="92"/>
  <c r="CP34" i="92"/>
  <c r="CH34" i="92"/>
  <c r="CW34" i="92"/>
  <c r="CO34" i="92"/>
  <c r="CG34" i="92"/>
  <c r="DD34" i="92"/>
  <c r="CV34" i="92"/>
  <c r="CN34" i="92"/>
  <c r="CF34" i="92"/>
  <c r="DC34" i="92"/>
  <c r="CU34" i="92"/>
  <c r="CM34" i="92"/>
  <c r="CE34" i="92"/>
  <c r="BI34" i="92"/>
  <c r="BA34" i="92"/>
  <c r="AS34" i="92"/>
  <c r="AK34" i="92"/>
  <c r="BH34" i="92"/>
  <c r="AZ34" i="92"/>
  <c r="AR34" i="92"/>
  <c r="AJ34" i="92"/>
  <c r="BG34" i="92"/>
  <c r="AY34" i="92"/>
  <c r="AQ34" i="92"/>
  <c r="BF34" i="92"/>
  <c r="AX34" i="92"/>
  <c r="AP34" i="92"/>
  <c r="BM34" i="92"/>
  <c r="BE34" i="92"/>
  <c r="AW34" i="92"/>
  <c r="AO34" i="92"/>
  <c r="BL34" i="92"/>
  <c r="BD34" i="92"/>
  <c r="AV34" i="92"/>
  <c r="AN34" i="92"/>
  <c r="BK34" i="92"/>
  <c r="BC34" i="92"/>
  <c r="AU34" i="92"/>
  <c r="AM34" i="92"/>
  <c r="BJ34" i="92"/>
  <c r="BB34" i="92"/>
  <c r="AT34" i="92"/>
  <c r="AL34" i="92"/>
  <c r="CW33" i="93"/>
  <c r="CO33" i="93"/>
  <c r="CG33" i="93"/>
  <c r="DD33" i="93"/>
  <c r="CV33" i="93"/>
  <c r="CN33" i="93"/>
  <c r="CF33" i="93"/>
  <c r="DC33" i="93"/>
  <c r="CU33" i="93"/>
  <c r="CM33" i="93"/>
  <c r="CE33" i="93"/>
  <c r="DB33" i="93"/>
  <c r="CT33" i="93"/>
  <c r="CL33" i="93"/>
  <c r="CD33" i="93"/>
  <c r="DA33" i="93"/>
  <c r="CS33" i="93"/>
  <c r="CK33" i="93"/>
  <c r="CC33" i="93"/>
  <c r="CY33" i="93"/>
  <c r="CB33" i="93"/>
  <c r="CX33" i="93"/>
  <c r="CA33" i="93"/>
  <c r="CR33" i="93"/>
  <c r="CQ33" i="93"/>
  <c r="CP33" i="93"/>
  <c r="CJ33" i="93"/>
  <c r="CI33" i="93"/>
  <c r="CZ33" i="93"/>
  <c r="CH33" i="93"/>
  <c r="BF33" i="93"/>
  <c r="AX33" i="93"/>
  <c r="AP33" i="93"/>
  <c r="BM33" i="93"/>
  <c r="BE33" i="93"/>
  <c r="AW33" i="93"/>
  <c r="AO33" i="93"/>
  <c r="BL33" i="93"/>
  <c r="BD33" i="93"/>
  <c r="AV33" i="93"/>
  <c r="AN33" i="93"/>
  <c r="BJ33" i="93"/>
  <c r="BB33" i="93"/>
  <c r="AT33" i="93"/>
  <c r="AL33" i="93"/>
  <c r="BH33" i="93"/>
  <c r="AZ33" i="93"/>
  <c r="AR33" i="93"/>
  <c r="AJ33" i="93"/>
  <c r="BG33" i="93"/>
  <c r="AY33" i="93"/>
  <c r="AQ33" i="93"/>
  <c r="AU33" i="93"/>
  <c r="AS33" i="93"/>
  <c r="AM33" i="93"/>
  <c r="AK33" i="93"/>
  <c r="BK33" i="93"/>
  <c r="BI33" i="93"/>
  <c r="BC33" i="93"/>
  <c r="BA33" i="93"/>
  <c r="BO33" i="92"/>
  <c r="BN33" i="92"/>
  <c r="K33" i="92" s="1"/>
  <c r="CW34" i="87"/>
  <c r="CN34" i="87"/>
  <c r="CF34" i="87"/>
  <c r="DD34" i="87"/>
  <c r="CU34" i="87"/>
  <c r="CM34" i="87"/>
  <c r="CE34" i="87"/>
  <c r="DC34" i="87"/>
  <c r="CT34" i="87"/>
  <c r="CL34" i="87"/>
  <c r="CD34" i="87"/>
  <c r="DB34" i="87"/>
  <c r="CS34" i="87"/>
  <c r="CK34" i="87"/>
  <c r="CC34" i="87"/>
  <c r="DA34" i="87"/>
  <c r="CR34" i="87"/>
  <c r="CJ34" i="87"/>
  <c r="CZ34" i="87"/>
  <c r="CQ34" i="87"/>
  <c r="CI34" i="87"/>
  <c r="CA34" i="87"/>
  <c r="CY34" i="87"/>
  <c r="CP34" i="87"/>
  <c r="CH34" i="87"/>
  <c r="CX34" i="87"/>
  <c r="CO34" i="87"/>
  <c r="CG34" i="87"/>
  <c r="BF34" i="87"/>
  <c r="AX34" i="87"/>
  <c r="AP34" i="87"/>
  <c r="BM34" i="87"/>
  <c r="BE34" i="87"/>
  <c r="AW34" i="87"/>
  <c r="AO34" i="87"/>
  <c r="BL34" i="87"/>
  <c r="BD34" i="87"/>
  <c r="AV34" i="87"/>
  <c r="AN34" i="87"/>
  <c r="BK34" i="87"/>
  <c r="BC34" i="87"/>
  <c r="AU34" i="87"/>
  <c r="AM34" i="87"/>
  <c r="BJ34" i="87"/>
  <c r="BB34" i="87"/>
  <c r="AT34" i="87"/>
  <c r="AL34" i="87"/>
  <c r="BI34" i="87"/>
  <c r="BA34" i="87"/>
  <c r="AS34" i="87"/>
  <c r="BH34" i="87"/>
  <c r="AZ34" i="87"/>
  <c r="AR34" i="87"/>
  <c r="AJ34" i="87"/>
  <c r="BG34" i="87"/>
  <c r="AY34" i="87"/>
  <c r="AQ34" i="87"/>
  <c r="CV34" i="87"/>
  <c r="CE33" i="88"/>
  <c r="CM33" i="88"/>
  <c r="CV33" i="88"/>
  <c r="DD33" i="88"/>
  <c r="CF33" i="88"/>
  <c r="CN33" i="88"/>
  <c r="CW33" i="88"/>
  <c r="CG33" i="88"/>
  <c r="CO33" i="88"/>
  <c r="CX33" i="88"/>
  <c r="CH33" i="88"/>
  <c r="CP33" i="88"/>
  <c r="CY33" i="88"/>
  <c r="CI33" i="88"/>
  <c r="CQ33" i="88"/>
  <c r="CZ33" i="88"/>
  <c r="CB33" i="88"/>
  <c r="DA33" i="88"/>
  <c r="CC33" i="88"/>
  <c r="DB33" i="88"/>
  <c r="CJ33" i="88"/>
  <c r="DC33" i="88"/>
  <c r="CK33" i="88"/>
  <c r="CL33" i="88"/>
  <c r="CR33" i="88"/>
  <c r="CT33" i="88"/>
  <c r="CA33" i="88"/>
  <c r="CU33" i="88"/>
  <c r="AK33" i="88"/>
  <c r="AT33" i="88"/>
  <c r="BC33" i="88"/>
  <c r="BK33" i="88"/>
  <c r="AL33" i="88"/>
  <c r="AU33" i="88"/>
  <c r="BD33" i="88"/>
  <c r="BL33" i="88"/>
  <c r="AN33" i="88"/>
  <c r="AV33" i="88"/>
  <c r="BE33" i="88"/>
  <c r="BM33" i="88"/>
  <c r="AO33" i="88"/>
  <c r="AW33" i="88"/>
  <c r="BF33" i="88"/>
  <c r="AP33" i="88"/>
  <c r="AX33" i="88"/>
  <c r="BG33" i="88"/>
  <c r="AQ33" i="88"/>
  <c r="AY33" i="88"/>
  <c r="BH33" i="88"/>
  <c r="AR33" i="88"/>
  <c r="AZ33" i="88"/>
  <c r="BI33" i="88"/>
  <c r="BA33" i="88"/>
  <c r="BJ33" i="88"/>
  <c r="AJ33" i="88"/>
  <c r="AS33" i="88"/>
  <c r="AM33" i="88"/>
  <c r="BB33" i="88"/>
  <c r="CD33" i="88"/>
  <c r="CS33" i="88"/>
  <c r="CW33" i="89"/>
  <c r="CO33" i="89"/>
  <c r="CG33" i="89"/>
  <c r="DD33" i="89"/>
  <c r="CV33" i="89"/>
  <c r="CN33" i="89"/>
  <c r="CF33" i="89"/>
  <c r="DC33" i="89"/>
  <c r="CU33" i="89"/>
  <c r="CM33" i="89"/>
  <c r="CE33" i="89"/>
  <c r="DB33" i="89"/>
  <c r="CT33" i="89"/>
  <c r="CL33" i="89"/>
  <c r="CC33" i="89"/>
  <c r="CZ33" i="89"/>
  <c r="CR33" i="89"/>
  <c r="CJ33" i="89"/>
  <c r="CA33" i="89"/>
  <c r="CY33" i="89"/>
  <c r="CQ33" i="89"/>
  <c r="CI33" i="89"/>
  <c r="CX33" i="89"/>
  <c r="CP33" i="89"/>
  <c r="CH33" i="89"/>
  <c r="DA33" i="89"/>
  <c r="CS33" i="89"/>
  <c r="CK33" i="89"/>
  <c r="CB33" i="89"/>
  <c r="BJ33" i="89"/>
  <c r="BB33" i="89"/>
  <c r="AT33" i="89"/>
  <c r="BI33" i="89"/>
  <c r="AZ33" i="89"/>
  <c r="AQ33" i="89"/>
  <c r="BH33" i="89"/>
  <c r="AY33" i="89"/>
  <c r="AP33" i="89"/>
  <c r="BG33" i="89"/>
  <c r="AX33" i="89"/>
  <c r="AO33" i="89"/>
  <c r="BF33" i="89"/>
  <c r="AW33" i="89"/>
  <c r="AN33" i="89"/>
  <c r="BE33" i="89"/>
  <c r="AV33" i="89"/>
  <c r="AL33" i="89"/>
  <c r="BM33" i="89"/>
  <c r="BD33" i="89"/>
  <c r="AU33" i="89"/>
  <c r="AK33" i="89"/>
  <c r="BL33" i="89"/>
  <c r="BC33" i="89"/>
  <c r="AS33" i="89"/>
  <c r="AJ33" i="89"/>
  <c r="BK33" i="89"/>
  <c r="BA33" i="89"/>
  <c r="AR33" i="89"/>
  <c r="CD33" i="89"/>
  <c r="AM33" i="89"/>
  <c r="BH34" i="91"/>
  <c r="AZ34" i="91"/>
  <c r="AR34" i="91"/>
  <c r="BG34" i="91"/>
  <c r="AY34" i="91"/>
  <c r="AP34" i="91"/>
  <c r="BF34" i="91"/>
  <c r="AX34" i="91"/>
  <c r="AO34" i="91"/>
  <c r="BM34" i="91"/>
  <c r="BE34" i="91"/>
  <c r="AW34" i="91"/>
  <c r="AN34" i="91"/>
  <c r="BL34" i="91"/>
  <c r="BD34" i="91"/>
  <c r="AV34" i="91"/>
  <c r="AM34" i="91"/>
  <c r="BK34" i="91"/>
  <c r="BC34" i="91"/>
  <c r="AU34" i="91"/>
  <c r="AL34" i="91"/>
  <c r="BJ34" i="91"/>
  <c r="BB34" i="91"/>
  <c r="AT34" i="91"/>
  <c r="AK34" i="91"/>
  <c r="BI34" i="91"/>
  <c r="BA34" i="91"/>
  <c r="AS34" i="91"/>
  <c r="AJ34" i="91"/>
  <c r="CZ34" i="91"/>
  <c r="CR34" i="91"/>
  <c r="CJ34" i="91"/>
  <c r="CA34" i="91"/>
  <c r="CY34" i="91"/>
  <c r="CQ34" i="91"/>
  <c r="CI34" i="91"/>
  <c r="CX34" i="91"/>
  <c r="CP34" i="91"/>
  <c r="CG34" i="91"/>
  <c r="CW34" i="91"/>
  <c r="CO34" i="91"/>
  <c r="CF34" i="91"/>
  <c r="DD34" i="91"/>
  <c r="CV34" i="91"/>
  <c r="CN34" i="91"/>
  <c r="CE34" i="91"/>
  <c r="DB34" i="91"/>
  <c r="CD34" i="91"/>
  <c r="DA34" i="91"/>
  <c r="CC34" i="91"/>
  <c r="CT34" i="91"/>
  <c r="CS34" i="91"/>
  <c r="CM34" i="91"/>
  <c r="CL34" i="91"/>
  <c r="DC34" i="91"/>
  <c r="CK34" i="91"/>
  <c r="CU34" i="91"/>
  <c r="CB34" i="91"/>
  <c r="CH34" i="91"/>
  <c r="AQ34" i="91"/>
  <c r="DD33" i="85"/>
  <c r="CV33" i="85"/>
  <c r="CN33" i="85"/>
  <c r="CF33" i="85"/>
  <c r="DC33" i="85"/>
  <c r="CU33" i="85"/>
  <c r="CM33" i="85"/>
  <c r="CE33" i="85"/>
  <c r="CT33" i="85"/>
  <c r="CJ33" i="85"/>
  <c r="CS33" i="85"/>
  <c r="CI33" i="85"/>
  <c r="DB33" i="85"/>
  <c r="CR33" i="85"/>
  <c r="CH33" i="85"/>
  <c r="DA33" i="85"/>
  <c r="CQ33" i="85"/>
  <c r="CG33" i="85"/>
  <c r="CZ33" i="85"/>
  <c r="CP33" i="85"/>
  <c r="CD33" i="85"/>
  <c r="CY33" i="85"/>
  <c r="CO33" i="85"/>
  <c r="CB33" i="85"/>
  <c r="CX33" i="85"/>
  <c r="CL33" i="85"/>
  <c r="CA33" i="85"/>
  <c r="CW33" i="85"/>
  <c r="CK33" i="85"/>
  <c r="BH33" i="85"/>
  <c r="AZ33" i="85"/>
  <c r="AR33" i="85"/>
  <c r="BG33" i="85"/>
  <c r="AY33" i="85"/>
  <c r="AQ33" i="85"/>
  <c r="BM33" i="85"/>
  <c r="BE33" i="85"/>
  <c r="AU33" i="85"/>
  <c r="AJ33" i="85"/>
  <c r="BD33" i="85"/>
  <c r="AT33" i="85"/>
  <c r="BC33" i="85"/>
  <c r="AS33" i="85"/>
  <c r="BL33" i="85"/>
  <c r="BB33" i="85"/>
  <c r="AP33" i="85"/>
  <c r="BK33" i="85"/>
  <c r="BA33" i="85"/>
  <c r="AO33" i="85"/>
  <c r="BJ33" i="85"/>
  <c r="AX33" i="85"/>
  <c r="AN33" i="85"/>
  <c r="BI33" i="85"/>
  <c r="AW33" i="85"/>
  <c r="AM33" i="85"/>
  <c r="BF33" i="85"/>
  <c r="AV33" i="85"/>
  <c r="AK33" i="85"/>
  <c r="AL33" i="85"/>
  <c r="CX33" i="84"/>
  <c r="CP33" i="84"/>
  <c r="CH33" i="84"/>
  <c r="CW33" i="84"/>
  <c r="CO33" i="84"/>
  <c r="CG33" i="84"/>
  <c r="DC33" i="84"/>
  <c r="CS33" i="84"/>
  <c r="CI33" i="84"/>
  <c r="DA33" i="84"/>
  <c r="CQ33" i="84"/>
  <c r="CE33" i="84"/>
  <c r="CR33" i="84"/>
  <c r="CC33" i="84"/>
  <c r="DD33" i="84"/>
  <c r="CN33" i="84"/>
  <c r="CB33" i="84"/>
  <c r="DB33" i="84"/>
  <c r="CM33" i="84"/>
  <c r="CA33" i="84"/>
  <c r="CZ33" i="84"/>
  <c r="CL33" i="84"/>
  <c r="CY33" i="84"/>
  <c r="CK33" i="84"/>
  <c r="CV33" i="84"/>
  <c r="CU33" i="84"/>
  <c r="CT33" i="84"/>
  <c r="CJ33" i="84"/>
  <c r="CF33" i="84"/>
  <c r="CD33" i="84"/>
  <c r="BF33" i="84"/>
  <c r="AX33" i="84"/>
  <c r="AP33" i="84"/>
  <c r="BM33" i="84"/>
  <c r="BE33" i="84"/>
  <c r="AW33" i="84"/>
  <c r="AO33" i="84"/>
  <c r="BL33" i="84"/>
  <c r="BD33" i="84"/>
  <c r="AV33" i="84"/>
  <c r="AN33" i="84"/>
  <c r="BK33" i="84"/>
  <c r="BC33" i="84"/>
  <c r="AU33" i="84"/>
  <c r="AM33" i="84"/>
  <c r="BJ33" i="84"/>
  <c r="BB33" i="84"/>
  <c r="AT33" i="84"/>
  <c r="AL33" i="84"/>
  <c r="BI33" i="84"/>
  <c r="BA33" i="84"/>
  <c r="AS33" i="84"/>
  <c r="AK33" i="84"/>
  <c r="BH33" i="84"/>
  <c r="AZ33" i="84"/>
  <c r="AR33" i="84"/>
  <c r="AJ33" i="84"/>
  <c r="BG33" i="84"/>
  <c r="AY33" i="84"/>
  <c r="AQ33" i="84"/>
  <c r="AK33" i="83"/>
  <c r="AS33" i="83"/>
  <c r="BA33" i="83"/>
  <c r="BI33" i="83"/>
  <c r="CG33" i="83"/>
  <c r="CO33" i="83"/>
  <c r="CW33" i="83"/>
  <c r="CA33" i="83"/>
  <c r="CQ33" i="83"/>
  <c r="AL33" i="83"/>
  <c r="AT33" i="83"/>
  <c r="BB33" i="83"/>
  <c r="BJ33" i="83"/>
  <c r="CH33" i="83"/>
  <c r="CP33" i="83"/>
  <c r="CX33" i="83"/>
  <c r="CI33" i="83"/>
  <c r="CY33" i="83"/>
  <c r="AM33" i="83"/>
  <c r="AU33" i="83"/>
  <c r="BC33" i="83"/>
  <c r="BK33" i="83"/>
  <c r="CS33" i="83"/>
  <c r="AN33" i="83"/>
  <c r="AV33" i="83"/>
  <c r="BD33" i="83"/>
  <c r="BL33" i="83"/>
  <c r="CB33" i="83"/>
  <c r="CJ33" i="83"/>
  <c r="CR33" i="83"/>
  <c r="CZ33" i="83"/>
  <c r="CC33" i="83"/>
  <c r="DA33" i="83"/>
  <c r="AO33" i="83"/>
  <c r="AW33" i="83"/>
  <c r="BE33" i="83"/>
  <c r="BM33" i="83"/>
  <c r="CK33" i="83"/>
  <c r="AR33" i="83"/>
  <c r="CL33" i="83"/>
  <c r="DD33" i="83"/>
  <c r="AX33" i="83"/>
  <c r="CM33" i="83"/>
  <c r="AY33" i="83"/>
  <c r="CN33" i="83"/>
  <c r="AZ33" i="83"/>
  <c r="CT33" i="83"/>
  <c r="BF33" i="83"/>
  <c r="CU33" i="83"/>
  <c r="CV33" i="83"/>
  <c r="AJ33" i="83"/>
  <c r="BG33" i="83"/>
  <c r="CD33" i="83"/>
  <c r="AP33" i="83"/>
  <c r="BH33" i="83"/>
  <c r="CE33" i="83"/>
  <c r="DB33" i="83"/>
  <c r="AQ33" i="83"/>
  <c r="CF33" i="83"/>
  <c r="DC33" i="83"/>
  <c r="DA34" i="86"/>
  <c r="CS34" i="86"/>
  <c r="CK34" i="86"/>
  <c r="CC34" i="86"/>
  <c r="CZ34" i="86"/>
  <c r="CR34" i="86"/>
  <c r="CJ34" i="86"/>
  <c r="CB34" i="86"/>
  <c r="CY34" i="86"/>
  <c r="CQ34" i="86"/>
  <c r="CI34" i="86"/>
  <c r="CA34" i="86"/>
  <c r="DC34" i="86"/>
  <c r="CO34" i="86"/>
  <c r="CD34" i="86"/>
  <c r="DB34" i="86"/>
  <c r="CN34" i="86"/>
  <c r="CX34" i="86"/>
  <c r="CM34" i="86"/>
  <c r="CW34" i="86"/>
  <c r="CL34" i="86"/>
  <c r="CV34" i="86"/>
  <c r="CH34" i="86"/>
  <c r="CU34" i="86"/>
  <c r="CG34" i="86"/>
  <c r="DD34" i="86"/>
  <c r="CT34" i="86"/>
  <c r="CP34" i="86"/>
  <c r="CF34" i="86"/>
  <c r="CE34" i="86"/>
  <c r="BG34" i="86"/>
  <c r="AY34" i="86"/>
  <c r="AQ34" i="86"/>
  <c r="BL34" i="86"/>
  <c r="BC34" i="86"/>
  <c r="AT34" i="86"/>
  <c r="AK34" i="86"/>
  <c r="BK34" i="86"/>
  <c r="BB34" i="86"/>
  <c r="AS34" i="86"/>
  <c r="AJ34" i="86"/>
  <c r="BJ34" i="86"/>
  <c r="BA34" i="86"/>
  <c r="AR34" i="86"/>
  <c r="BI34" i="86"/>
  <c r="AZ34" i="86"/>
  <c r="AP34" i="86"/>
  <c r="BH34" i="86"/>
  <c r="AX34" i="86"/>
  <c r="AO34" i="86"/>
  <c r="BF34" i="86"/>
  <c r="AW34" i="86"/>
  <c r="AN34" i="86"/>
  <c r="BE34" i="86"/>
  <c r="AV34" i="86"/>
  <c r="AM34" i="86"/>
  <c r="BM34" i="86"/>
  <c r="BD34" i="86"/>
  <c r="AU34" i="86"/>
  <c r="AL34" i="86"/>
  <c r="A21" i="95"/>
  <c r="BG31" i="43"/>
  <c r="A20" i="47"/>
  <c r="Q30" i="43"/>
  <c r="AS30" i="43"/>
  <c r="A20" i="48"/>
  <c r="AE30" i="43"/>
  <c r="A20" i="49"/>
  <c r="BN32" i="93"/>
  <c r="X21" i="23"/>
  <c r="AD21" i="24" s="1"/>
  <c r="T21" i="23"/>
  <c r="Y21" i="24" s="1"/>
  <c r="P20" i="23"/>
  <c r="T20" i="24" s="1"/>
  <c r="BN32" i="83"/>
  <c r="K32" i="83" s="1"/>
  <c r="BO23" i="84"/>
  <c r="BN23" i="84"/>
  <c r="BN32" i="84"/>
  <c r="BN33" i="90"/>
  <c r="K33" i="90" s="1"/>
  <c r="BN33" i="87"/>
  <c r="K33" i="87" s="1"/>
  <c r="BO32" i="86"/>
  <c r="BN32" i="86"/>
  <c r="K32" i="86" s="1"/>
  <c r="BO25" i="86"/>
  <c r="BN25" i="86"/>
  <c r="K25" i="86" s="1"/>
  <c r="AA21" i="25"/>
  <c r="AT21" i="23"/>
  <c r="D33" i="93"/>
  <c r="Z22" i="25"/>
  <c r="AS22" i="23"/>
  <c r="B34" i="93"/>
  <c r="A35" i="93"/>
  <c r="AD20" i="25"/>
  <c r="AV20" i="23"/>
  <c r="AO23" i="23"/>
  <c r="U23" i="25"/>
  <c r="AK23" i="23"/>
  <c r="P23" i="25"/>
  <c r="F22" i="25"/>
  <c r="AC22" i="23"/>
  <c r="Z23" i="24"/>
  <c r="U23" i="23"/>
  <c r="U23" i="24"/>
  <c r="Q23" i="23"/>
  <c r="P22" i="24"/>
  <c r="M22" i="23"/>
  <c r="A35" i="85"/>
  <c r="B34" i="85"/>
  <c r="Q21" i="24"/>
  <c r="D33" i="85"/>
  <c r="N21" i="23"/>
  <c r="K22" i="24"/>
  <c r="I22" i="23"/>
  <c r="E22" i="23"/>
  <c r="F22" i="24"/>
  <c r="V22" i="24"/>
  <c r="R22" i="23"/>
  <c r="L21" i="24"/>
  <c r="J21" i="23"/>
  <c r="G21" i="24"/>
  <c r="F21" i="23"/>
  <c r="G21" i="25"/>
  <c r="AD21" i="23"/>
  <c r="Y21" i="25"/>
  <c r="AR21" i="23"/>
  <c r="AN21" i="23"/>
  <c r="T21" i="25"/>
  <c r="V22" i="23"/>
  <c r="AA22" i="24"/>
  <c r="AP22" i="23"/>
  <c r="V22" i="25"/>
  <c r="AF20" i="23"/>
  <c r="J20" i="25"/>
  <c r="AL22" i="23"/>
  <c r="Q22" i="25"/>
  <c r="BO30" i="84"/>
  <c r="K30" i="84"/>
  <c r="K23" i="25"/>
  <c r="AG23" i="23"/>
  <c r="AH22" i="23"/>
  <c r="L22" i="25"/>
  <c r="AJ21" i="23"/>
  <c r="O21" i="25"/>
  <c r="AB20" i="23"/>
  <c r="E20" i="25"/>
  <c r="Y22" i="23"/>
  <c r="A22" i="25"/>
  <c r="B21" i="25"/>
  <c r="Z21" i="23"/>
  <c r="B14" i="82"/>
  <c r="BO29" i="87"/>
  <c r="BO22" i="87"/>
  <c r="V22" i="87"/>
  <c r="BO18" i="86"/>
  <c r="BO16" i="84"/>
  <c r="K16" i="84"/>
  <c r="BO25" i="83"/>
  <c r="K25" i="83"/>
  <c r="BO27" i="85"/>
  <c r="BO19" i="88"/>
  <c r="K18" i="83"/>
  <c r="BO18" i="83"/>
  <c r="BO26" i="88"/>
  <c r="BO20" i="85"/>
  <c r="B35" i="92"/>
  <c r="A36" i="92"/>
  <c r="D34" i="92"/>
  <c r="B35" i="91"/>
  <c r="A36" i="91"/>
  <c r="D34" i="91"/>
  <c r="D34" i="90"/>
  <c r="A36" i="90"/>
  <c r="B35" i="90"/>
  <c r="B34" i="89"/>
  <c r="A35" i="89"/>
  <c r="D33" i="89"/>
  <c r="B34" i="88"/>
  <c r="A35" i="88"/>
  <c r="D33" i="88"/>
  <c r="B35" i="87"/>
  <c r="A36" i="87"/>
  <c r="D34" i="87"/>
  <c r="B35" i="86"/>
  <c r="A36" i="86"/>
  <c r="D34" i="86"/>
  <c r="D33" i="84"/>
  <c r="L21" i="23" s="1"/>
  <c r="O21" i="24" s="1"/>
  <c r="A35" i="84"/>
  <c r="B34" i="84"/>
  <c r="D33" i="83"/>
  <c r="H21" i="23" s="1"/>
  <c r="J21" i="24" s="1"/>
  <c r="A35" i="83"/>
  <c r="B34" i="83"/>
  <c r="BO32" i="83"/>
  <c r="B15" i="43"/>
  <c r="C15" i="43" s="1"/>
  <c r="B16" i="43" s="1"/>
  <c r="C16" i="43" s="1"/>
  <c r="B17" i="43" s="1"/>
  <c r="C17" i="43" s="1"/>
  <c r="B18" i="43" s="1"/>
  <c r="C18" i="43" s="1"/>
  <c r="B19" i="43" s="1"/>
  <c r="C19" i="43" s="1"/>
  <c r="B20" i="43" s="1"/>
  <c r="C20" i="43" s="1"/>
  <c r="B21" i="43" s="1"/>
  <c r="C21" i="43" s="1"/>
  <c r="B22" i="43" s="1"/>
  <c r="C22" i="43" s="1"/>
  <c r="B23" i="43" s="1"/>
  <c r="C23" i="43" s="1"/>
  <c r="B24" i="43" s="1"/>
  <c r="C24" i="43" s="1"/>
  <c r="B25" i="43" s="1"/>
  <c r="C25" i="43" s="1"/>
  <c r="B26" i="43" s="1"/>
  <c r="C26" i="43" s="1"/>
  <c r="B27" i="43" s="1"/>
  <c r="C27" i="43" s="1"/>
  <c r="B28" i="43" s="1"/>
  <c r="C28" i="43" s="1"/>
  <c r="B29" i="43" s="1"/>
  <c r="C29" i="43" s="1"/>
  <c r="B30" i="43" s="1"/>
  <c r="C30" i="43" s="1"/>
  <c r="B31" i="43" s="1"/>
  <c r="A21" i="46" s="1"/>
  <c r="H10" i="50"/>
  <c r="H29" i="50" s="1"/>
  <c r="G29" i="50"/>
  <c r="H19" i="50"/>
  <c r="G47" i="50"/>
  <c r="BN34" i="92" l="1"/>
  <c r="BO34" i="92"/>
  <c r="CY35" i="87"/>
  <c r="CQ35" i="87"/>
  <c r="CI35" i="87"/>
  <c r="CA35" i="87"/>
  <c r="CX35" i="87"/>
  <c r="CP35" i="87"/>
  <c r="CH35" i="87"/>
  <c r="CW35" i="87"/>
  <c r="CO35" i="87"/>
  <c r="CG35" i="87"/>
  <c r="DD35" i="87"/>
  <c r="CV35" i="87"/>
  <c r="CN35" i="87"/>
  <c r="CF35" i="87"/>
  <c r="DC35" i="87"/>
  <c r="CU35" i="87"/>
  <c r="CM35" i="87"/>
  <c r="CE35" i="87"/>
  <c r="DB35" i="87"/>
  <c r="CT35" i="87"/>
  <c r="CL35" i="87"/>
  <c r="CD35" i="87"/>
  <c r="DA35" i="87"/>
  <c r="CS35" i="87"/>
  <c r="CK35" i="87"/>
  <c r="CZ35" i="87"/>
  <c r="CR35" i="87"/>
  <c r="CJ35" i="87"/>
  <c r="CB35" i="87"/>
  <c r="BH35" i="87"/>
  <c r="AZ35" i="87"/>
  <c r="AR35" i="87"/>
  <c r="AJ35" i="87"/>
  <c r="BG35" i="87"/>
  <c r="AY35" i="87"/>
  <c r="AQ35" i="87"/>
  <c r="BF35" i="87"/>
  <c r="AX35" i="87"/>
  <c r="AP35" i="87"/>
  <c r="BM35" i="87"/>
  <c r="BE35" i="87"/>
  <c r="AW35" i="87"/>
  <c r="AO35" i="87"/>
  <c r="BL35" i="87"/>
  <c r="BD35" i="87"/>
  <c r="AV35" i="87"/>
  <c r="AN35" i="87"/>
  <c r="BK35" i="87"/>
  <c r="BC35" i="87"/>
  <c r="AU35" i="87"/>
  <c r="AM35" i="87"/>
  <c r="BJ35" i="87"/>
  <c r="BB35" i="87"/>
  <c r="AT35" i="87"/>
  <c r="AL35" i="87"/>
  <c r="BI35" i="87"/>
  <c r="BA35" i="87"/>
  <c r="AS35" i="87"/>
  <c r="AK35" i="87"/>
  <c r="DD35" i="92"/>
  <c r="CV35" i="92"/>
  <c r="CN35" i="92"/>
  <c r="CF35" i="92"/>
  <c r="DC35" i="92"/>
  <c r="CU35" i="92"/>
  <c r="CM35" i="92"/>
  <c r="CE35" i="92"/>
  <c r="DB35" i="92"/>
  <c r="CT35" i="92"/>
  <c r="CL35" i="92"/>
  <c r="CD35" i="92"/>
  <c r="DA35" i="92"/>
  <c r="CS35" i="92"/>
  <c r="CK35" i="92"/>
  <c r="CC35" i="92"/>
  <c r="CZ35" i="92"/>
  <c r="CR35" i="92"/>
  <c r="CJ35" i="92"/>
  <c r="CB35" i="92"/>
  <c r="CY35" i="92"/>
  <c r="CQ35" i="92"/>
  <c r="CI35" i="92"/>
  <c r="CA35" i="92"/>
  <c r="CX35" i="92"/>
  <c r="CP35" i="92"/>
  <c r="CH35" i="92"/>
  <c r="CW35" i="92"/>
  <c r="CO35" i="92"/>
  <c r="CG35" i="92"/>
  <c r="BK35" i="92"/>
  <c r="BC35" i="92"/>
  <c r="AU35" i="92"/>
  <c r="AM35" i="92"/>
  <c r="BJ35" i="92"/>
  <c r="BB35" i="92"/>
  <c r="AT35" i="92"/>
  <c r="AL35" i="92"/>
  <c r="BI35" i="92"/>
  <c r="BA35" i="92"/>
  <c r="AS35" i="92"/>
  <c r="AK35" i="92"/>
  <c r="BH35" i="92"/>
  <c r="AZ35" i="92"/>
  <c r="AR35" i="92"/>
  <c r="AJ35" i="92"/>
  <c r="BL35" i="92"/>
  <c r="BG35" i="92"/>
  <c r="AY35" i="92"/>
  <c r="AQ35" i="92"/>
  <c r="BF35" i="92"/>
  <c r="AX35" i="92"/>
  <c r="AP35" i="92"/>
  <c r="BM35" i="92"/>
  <c r="BE35" i="92"/>
  <c r="AW35" i="92"/>
  <c r="AO35" i="92"/>
  <c r="BD35" i="92"/>
  <c r="AV35" i="92"/>
  <c r="AN35" i="92"/>
  <c r="CX35" i="90"/>
  <c r="CP35" i="90"/>
  <c r="CH35" i="90"/>
  <c r="CW35" i="90"/>
  <c r="CO35" i="90"/>
  <c r="CF35" i="90"/>
  <c r="DD35" i="90"/>
  <c r="CV35" i="90"/>
  <c r="CN35" i="90"/>
  <c r="CE35" i="90"/>
  <c r="DC35" i="90"/>
  <c r="CU35" i="90"/>
  <c r="CM35" i="90"/>
  <c r="CD35" i="90"/>
  <c r="DB35" i="90"/>
  <c r="CT35" i="90"/>
  <c r="CL35" i="90"/>
  <c r="CC35" i="90"/>
  <c r="DA35" i="90"/>
  <c r="CS35" i="90"/>
  <c r="CK35" i="90"/>
  <c r="CB35" i="90"/>
  <c r="CI35" i="90"/>
  <c r="CA35" i="90"/>
  <c r="CZ35" i="90"/>
  <c r="CY35" i="90"/>
  <c r="CR35" i="90"/>
  <c r="CQ35" i="90"/>
  <c r="CJ35" i="90"/>
  <c r="BI35" i="90"/>
  <c r="BA35" i="90"/>
  <c r="AS35" i="90"/>
  <c r="AJ35" i="90"/>
  <c r="BJ35" i="90"/>
  <c r="BH35" i="90"/>
  <c r="AZ35" i="90"/>
  <c r="AR35" i="90"/>
  <c r="BG35" i="90"/>
  <c r="AY35" i="90"/>
  <c r="AQ35" i="90"/>
  <c r="BB35" i="90"/>
  <c r="BF35" i="90"/>
  <c r="AX35" i="90"/>
  <c r="AO35" i="90"/>
  <c r="AT35" i="90"/>
  <c r="BM35" i="90"/>
  <c r="BE35" i="90"/>
  <c r="AW35" i="90"/>
  <c r="AN35" i="90"/>
  <c r="BL35" i="90"/>
  <c r="BD35" i="90"/>
  <c r="AV35" i="90"/>
  <c r="AM35" i="90"/>
  <c r="BK35" i="90"/>
  <c r="BC35" i="90"/>
  <c r="AU35" i="90"/>
  <c r="AL35" i="90"/>
  <c r="AK35" i="90"/>
  <c r="CG35" i="90"/>
  <c r="AP35" i="90"/>
  <c r="CY34" i="93"/>
  <c r="CQ34" i="93"/>
  <c r="CI34" i="93"/>
  <c r="CA34" i="93"/>
  <c r="CX34" i="93"/>
  <c r="CP34" i="93"/>
  <c r="CH34" i="93"/>
  <c r="CW34" i="93"/>
  <c r="CO34" i="93"/>
  <c r="CG34" i="93"/>
  <c r="DD34" i="93"/>
  <c r="CV34" i="93"/>
  <c r="CN34" i="93"/>
  <c r="CF34" i="93"/>
  <c r="DC34" i="93"/>
  <c r="CU34" i="93"/>
  <c r="CM34" i="93"/>
  <c r="CE34" i="93"/>
  <c r="CR34" i="93"/>
  <c r="CL34" i="93"/>
  <c r="CK34" i="93"/>
  <c r="DB34" i="93"/>
  <c r="CJ34" i="93"/>
  <c r="DA34" i="93"/>
  <c r="CD34" i="93"/>
  <c r="CZ34" i="93"/>
  <c r="CC34" i="93"/>
  <c r="CT34" i="93"/>
  <c r="CB34" i="93"/>
  <c r="CS34" i="93"/>
  <c r="BH34" i="93"/>
  <c r="AZ34" i="93"/>
  <c r="AR34" i="93"/>
  <c r="AJ34" i="93"/>
  <c r="BG34" i="93"/>
  <c r="AY34" i="93"/>
  <c r="AQ34" i="93"/>
  <c r="BF34" i="93"/>
  <c r="AX34" i="93"/>
  <c r="AP34" i="93"/>
  <c r="BL34" i="93"/>
  <c r="BD34" i="93"/>
  <c r="AV34" i="93"/>
  <c r="AN34" i="93"/>
  <c r="BJ34" i="93"/>
  <c r="BB34" i="93"/>
  <c r="AT34" i="93"/>
  <c r="AL34" i="93"/>
  <c r="BI34" i="93"/>
  <c r="BA34" i="93"/>
  <c r="AS34" i="93"/>
  <c r="AK34" i="93"/>
  <c r="AW34" i="93"/>
  <c r="AU34" i="93"/>
  <c r="AO34" i="93"/>
  <c r="AM34" i="93"/>
  <c r="BM34" i="93"/>
  <c r="BK34" i="93"/>
  <c r="BE34" i="93"/>
  <c r="BC34" i="93"/>
  <c r="CY34" i="89"/>
  <c r="CQ34" i="89"/>
  <c r="CI34" i="89"/>
  <c r="CA34" i="89"/>
  <c r="CX34" i="89"/>
  <c r="CP34" i="89"/>
  <c r="CH34" i="89"/>
  <c r="CW34" i="89"/>
  <c r="CO34" i="89"/>
  <c r="CG34" i="89"/>
  <c r="DD34" i="89"/>
  <c r="CV34" i="89"/>
  <c r="CN34" i="89"/>
  <c r="CF34" i="89"/>
  <c r="DB34" i="89"/>
  <c r="CT34" i="89"/>
  <c r="CL34" i="89"/>
  <c r="CD34" i="89"/>
  <c r="DA34" i="89"/>
  <c r="CS34" i="89"/>
  <c r="CK34" i="89"/>
  <c r="CC34" i="89"/>
  <c r="CZ34" i="89"/>
  <c r="CR34" i="89"/>
  <c r="CJ34" i="89"/>
  <c r="CB34" i="89"/>
  <c r="CM34" i="89"/>
  <c r="CE34" i="89"/>
  <c r="DC34" i="89"/>
  <c r="CU34" i="89"/>
  <c r="BL34" i="89"/>
  <c r="BD34" i="89"/>
  <c r="AV34" i="89"/>
  <c r="AN34" i="89"/>
  <c r="BG34" i="89"/>
  <c r="AX34" i="89"/>
  <c r="AO34" i="89"/>
  <c r="BF34" i="89"/>
  <c r="AW34" i="89"/>
  <c r="AM34" i="89"/>
  <c r="BE34" i="89"/>
  <c r="AU34" i="89"/>
  <c r="AL34" i="89"/>
  <c r="BM34" i="89"/>
  <c r="BC34" i="89"/>
  <c r="AT34" i="89"/>
  <c r="AK34" i="89"/>
  <c r="BK34" i="89"/>
  <c r="BB34" i="89"/>
  <c r="AS34" i="89"/>
  <c r="AJ34" i="89"/>
  <c r="BJ34" i="89"/>
  <c r="BA34" i="89"/>
  <c r="AR34" i="89"/>
  <c r="BI34" i="89"/>
  <c r="AZ34" i="89"/>
  <c r="AQ34" i="89"/>
  <c r="AP34" i="89"/>
  <c r="BH34" i="89"/>
  <c r="AY34" i="89"/>
  <c r="CH34" i="88"/>
  <c r="CP34" i="88"/>
  <c r="CX34" i="88"/>
  <c r="CA34" i="88"/>
  <c r="CI34" i="88"/>
  <c r="CQ34" i="88"/>
  <c r="CY34" i="88"/>
  <c r="CB34" i="88"/>
  <c r="CJ34" i="88"/>
  <c r="CR34" i="88"/>
  <c r="CZ34" i="88"/>
  <c r="CC34" i="88"/>
  <c r="CK34" i="88"/>
  <c r="CS34" i="88"/>
  <c r="DA34" i="88"/>
  <c r="CD34" i="88"/>
  <c r="CL34" i="88"/>
  <c r="CT34" i="88"/>
  <c r="DB34" i="88"/>
  <c r="CO34" i="88"/>
  <c r="CU34" i="88"/>
  <c r="CV34" i="88"/>
  <c r="CE34" i="88"/>
  <c r="CW34" i="88"/>
  <c r="CF34" i="88"/>
  <c r="DC34" i="88"/>
  <c r="CG34" i="88"/>
  <c r="DD34" i="88"/>
  <c r="CM34" i="88"/>
  <c r="CN34" i="88"/>
  <c r="AO34" i="88"/>
  <c r="AW34" i="88"/>
  <c r="BE34" i="88"/>
  <c r="BM34" i="88"/>
  <c r="AP34" i="88"/>
  <c r="AX34" i="88"/>
  <c r="BF34" i="88"/>
  <c r="AQ34" i="88"/>
  <c r="AY34" i="88"/>
  <c r="BG34" i="88"/>
  <c r="AJ34" i="88"/>
  <c r="AR34" i="88"/>
  <c r="AZ34" i="88"/>
  <c r="BH34" i="88"/>
  <c r="AK34" i="88"/>
  <c r="AS34" i="88"/>
  <c r="BA34" i="88"/>
  <c r="BI34" i="88"/>
  <c r="AL34" i="88"/>
  <c r="AT34" i="88"/>
  <c r="BB34" i="88"/>
  <c r="BJ34" i="88"/>
  <c r="AM34" i="88"/>
  <c r="AU34" i="88"/>
  <c r="BC34" i="88"/>
  <c r="BK34" i="88"/>
  <c r="AN34" i="88"/>
  <c r="BD34" i="88"/>
  <c r="AV34" i="88"/>
  <c r="BL34" i="88"/>
  <c r="BK35" i="91"/>
  <c r="BC35" i="91"/>
  <c r="AU35" i="91"/>
  <c r="AL35" i="91"/>
  <c r="BJ35" i="91"/>
  <c r="BB35" i="91"/>
  <c r="AT35" i="91"/>
  <c r="AK35" i="91"/>
  <c r="BI35" i="91"/>
  <c r="BA35" i="91"/>
  <c r="AS35" i="91"/>
  <c r="AJ35" i="91"/>
  <c r="BH35" i="91"/>
  <c r="AZ35" i="91"/>
  <c r="AQ35" i="91"/>
  <c r="BG35" i="91"/>
  <c r="AY35" i="91"/>
  <c r="AP35" i="91"/>
  <c r="BF35" i="91"/>
  <c r="AX35" i="91"/>
  <c r="AO35" i="91"/>
  <c r="BM35" i="91"/>
  <c r="BE35" i="91"/>
  <c r="AW35" i="91"/>
  <c r="AN35" i="91"/>
  <c r="AV35" i="91"/>
  <c r="AM35" i="91"/>
  <c r="BL35" i="91"/>
  <c r="DC35" i="91"/>
  <c r="CU35" i="91"/>
  <c r="CM35" i="91"/>
  <c r="CD35" i="91"/>
  <c r="DB35" i="91"/>
  <c r="CT35" i="91"/>
  <c r="CL35" i="91"/>
  <c r="CC35" i="91"/>
  <c r="DA35" i="91"/>
  <c r="CS35" i="91"/>
  <c r="CK35" i="91"/>
  <c r="CB35" i="91"/>
  <c r="CZ35" i="91"/>
  <c r="CR35" i="91"/>
  <c r="CJ35" i="91"/>
  <c r="CA35" i="91"/>
  <c r="CY35" i="91"/>
  <c r="CQ35" i="91"/>
  <c r="CH35" i="91"/>
  <c r="BD35" i="91"/>
  <c r="CV35" i="91"/>
  <c r="CP35" i="91"/>
  <c r="CN35" i="91"/>
  <c r="CG35" i="91"/>
  <c r="DD35" i="91"/>
  <c r="CF35" i="91"/>
  <c r="CX35" i="91"/>
  <c r="CE35" i="91"/>
  <c r="CW35" i="91"/>
  <c r="CO35" i="91"/>
  <c r="CI35" i="91"/>
  <c r="AR35" i="91"/>
  <c r="AM34" i="83"/>
  <c r="AU34" i="83"/>
  <c r="BC34" i="83"/>
  <c r="BK34" i="83"/>
  <c r="CA34" i="83"/>
  <c r="CI34" i="83"/>
  <c r="CQ34" i="83"/>
  <c r="CY34" i="83"/>
  <c r="CC34" i="83"/>
  <c r="DA34" i="83"/>
  <c r="CU34" i="83"/>
  <c r="AN34" i="83"/>
  <c r="AV34" i="83"/>
  <c r="BD34" i="83"/>
  <c r="BL34" i="83"/>
  <c r="CB34" i="83"/>
  <c r="CJ34" i="83"/>
  <c r="CR34" i="83"/>
  <c r="CZ34" i="83"/>
  <c r="CS34" i="83"/>
  <c r="AO34" i="83"/>
  <c r="AW34" i="83"/>
  <c r="BE34" i="83"/>
  <c r="BM34" i="83"/>
  <c r="CK34" i="83"/>
  <c r="AP34" i="83"/>
  <c r="AX34" i="83"/>
  <c r="BF34" i="83"/>
  <c r="CD34" i="83"/>
  <c r="CL34" i="83"/>
  <c r="CT34" i="83"/>
  <c r="DB34" i="83"/>
  <c r="CE34" i="83"/>
  <c r="DC34" i="83"/>
  <c r="AQ34" i="83"/>
  <c r="AY34" i="83"/>
  <c r="BG34" i="83"/>
  <c r="CM34" i="83"/>
  <c r="AK34" i="83"/>
  <c r="BH34" i="83"/>
  <c r="CW34" i="83"/>
  <c r="AL34" i="83"/>
  <c r="BI34" i="83"/>
  <c r="CF34" i="83"/>
  <c r="CX34" i="83"/>
  <c r="AR34" i="83"/>
  <c r="BJ34" i="83"/>
  <c r="CG34" i="83"/>
  <c r="DD34" i="83"/>
  <c r="AS34" i="83"/>
  <c r="CH34" i="83"/>
  <c r="AT34" i="83"/>
  <c r="CN34" i="83"/>
  <c r="AZ34" i="83"/>
  <c r="CO34" i="83"/>
  <c r="BA34" i="83"/>
  <c r="CP34" i="83"/>
  <c r="AJ34" i="83"/>
  <c r="BB34" i="83"/>
  <c r="CV34" i="83"/>
  <c r="DC35" i="86"/>
  <c r="CU35" i="86"/>
  <c r="CM35" i="86"/>
  <c r="CE35" i="86"/>
  <c r="DB35" i="86"/>
  <c r="CT35" i="86"/>
  <c r="CL35" i="86"/>
  <c r="CD35" i="86"/>
  <c r="DA35" i="86"/>
  <c r="CS35" i="86"/>
  <c r="CK35" i="86"/>
  <c r="CC35" i="86"/>
  <c r="CY35" i="86"/>
  <c r="CQ35" i="86"/>
  <c r="CI35" i="86"/>
  <c r="CX35" i="86"/>
  <c r="CP35" i="86"/>
  <c r="CH35" i="86"/>
  <c r="CO35" i="86"/>
  <c r="CN35" i="86"/>
  <c r="CJ35" i="86"/>
  <c r="DD35" i="86"/>
  <c r="CG35" i="86"/>
  <c r="CZ35" i="86"/>
  <c r="CF35" i="86"/>
  <c r="CW35" i="86"/>
  <c r="CB35" i="86"/>
  <c r="CR35" i="86"/>
  <c r="CA35" i="86"/>
  <c r="CV35" i="86"/>
  <c r="BI35" i="86"/>
  <c r="BA35" i="86"/>
  <c r="AS35" i="86"/>
  <c r="AK35" i="86"/>
  <c r="BJ35" i="86"/>
  <c r="AZ35" i="86"/>
  <c r="AQ35" i="86"/>
  <c r="BH35" i="86"/>
  <c r="AY35" i="86"/>
  <c r="AP35" i="86"/>
  <c r="BG35" i="86"/>
  <c r="AX35" i="86"/>
  <c r="AO35" i="86"/>
  <c r="BF35" i="86"/>
  <c r="AW35" i="86"/>
  <c r="AN35" i="86"/>
  <c r="BE35" i="86"/>
  <c r="AV35" i="86"/>
  <c r="AM35" i="86"/>
  <c r="BM35" i="86"/>
  <c r="BD35" i="86"/>
  <c r="AU35" i="86"/>
  <c r="AL35" i="86"/>
  <c r="BL35" i="86"/>
  <c r="BC35" i="86"/>
  <c r="AT35" i="86"/>
  <c r="AJ35" i="86"/>
  <c r="BK35" i="86"/>
  <c r="BB35" i="86"/>
  <c r="AR35" i="86"/>
  <c r="DA34" i="84"/>
  <c r="CS34" i="84"/>
  <c r="CK34" i="84"/>
  <c r="CC34" i="84"/>
  <c r="CZ34" i="84"/>
  <c r="CR34" i="84"/>
  <c r="CJ34" i="84"/>
  <c r="CB34" i="84"/>
  <c r="CV34" i="84"/>
  <c r="CL34" i="84"/>
  <c r="DD34" i="84"/>
  <c r="CT34" i="84"/>
  <c r="CH34" i="84"/>
  <c r="CP34" i="84"/>
  <c r="CD34" i="84"/>
  <c r="DC34" i="84"/>
  <c r="CO34" i="84"/>
  <c r="DB34" i="84"/>
  <c r="CN34" i="84"/>
  <c r="CY34" i="84"/>
  <c r="CM34" i="84"/>
  <c r="CX34" i="84"/>
  <c r="CI34" i="84"/>
  <c r="CF34" i="84"/>
  <c r="CE34" i="84"/>
  <c r="CW34" i="84"/>
  <c r="CU34" i="84"/>
  <c r="CQ34" i="84"/>
  <c r="CG34" i="84"/>
  <c r="BI34" i="84"/>
  <c r="BA34" i="84"/>
  <c r="AS34" i="84"/>
  <c r="AK34" i="84"/>
  <c r="BH34" i="84"/>
  <c r="AZ34" i="84"/>
  <c r="AR34" i="84"/>
  <c r="BG34" i="84"/>
  <c r="AY34" i="84"/>
  <c r="AQ34" i="84"/>
  <c r="BF34" i="84"/>
  <c r="AX34" i="84"/>
  <c r="AP34" i="84"/>
  <c r="BM34" i="84"/>
  <c r="BE34" i="84"/>
  <c r="AW34" i="84"/>
  <c r="AO34" i="84"/>
  <c r="BL34" i="84"/>
  <c r="BD34" i="84"/>
  <c r="AV34" i="84"/>
  <c r="AN34" i="84"/>
  <c r="BK34" i="84"/>
  <c r="BC34" i="84"/>
  <c r="AU34" i="84"/>
  <c r="AM34" i="84"/>
  <c r="AT34" i="84"/>
  <c r="AL34" i="84"/>
  <c r="BJ34" i="84"/>
  <c r="BB34" i="84"/>
  <c r="AJ34" i="84"/>
  <c r="CA34" i="84"/>
  <c r="CY34" i="85"/>
  <c r="CQ34" i="85"/>
  <c r="CI34" i="85"/>
  <c r="CX34" i="85"/>
  <c r="CP34" i="85"/>
  <c r="CH34" i="85"/>
  <c r="DD34" i="85"/>
  <c r="DC34" i="85"/>
  <c r="DB34" i="85"/>
  <c r="CT34" i="85"/>
  <c r="CL34" i="85"/>
  <c r="CC34" i="85"/>
  <c r="CO34" i="85"/>
  <c r="CB34" i="85"/>
  <c r="DA34" i="85"/>
  <c r="CN34" i="85"/>
  <c r="CA34" i="85"/>
  <c r="CZ34" i="85"/>
  <c r="CM34" i="85"/>
  <c r="CW34" i="85"/>
  <c r="CK34" i="85"/>
  <c r="CV34" i="85"/>
  <c r="CJ34" i="85"/>
  <c r="CU34" i="85"/>
  <c r="CG34" i="85"/>
  <c r="CS34" i="85"/>
  <c r="CF34" i="85"/>
  <c r="CR34" i="85"/>
  <c r="CE34" i="85"/>
  <c r="BK34" i="85"/>
  <c r="BC34" i="85"/>
  <c r="AU34" i="85"/>
  <c r="AL34" i="85"/>
  <c r="BJ34" i="85"/>
  <c r="BB34" i="85"/>
  <c r="AT34" i="85"/>
  <c r="AK34" i="85"/>
  <c r="BI34" i="85"/>
  <c r="BA34" i="85"/>
  <c r="AS34" i="85"/>
  <c r="AJ34" i="85"/>
  <c r="BH34" i="85"/>
  <c r="AZ34" i="85"/>
  <c r="AR34" i="85"/>
  <c r="BF34" i="85"/>
  <c r="AP34" i="85"/>
  <c r="BE34" i="85"/>
  <c r="AO34" i="85"/>
  <c r="BD34" i="85"/>
  <c r="AN34" i="85"/>
  <c r="AY34" i="85"/>
  <c r="AX34" i="85"/>
  <c r="BM34" i="85"/>
  <c r="AW34" i="85"/>
  <c r="BL34" i="85"/>
  <c r="AV34" i="85"/>
  <c r="BG34" i="85"/>
  <c r="AQ34" i="85"/>
  <c r="CD34" i="85"/>
  <c r="AM34" i="85"/>
  <c r="C31" i="43"/>
  <c r="B21" i="46" s="1"/>
  <c r="B21" i="95"/>
  <c r="BF32" i="43"/>
  <c r="B20" i="47"/>
  <c r="P31" i="43"/>
  <c r="A21" i="47" s="1"/>
  <c r="AR31" i="43"/>
  <c r="A21" i="48" s="1"/>
  <c r="B20" i="48"/>
  <c r="AD31" i="43"/>
  <c r="A21" i="49" s="1"/>
  <c r="B20" i="49"/>
  <c r="B32" i="43"/>
  <c r="A22" i="46" s="1"/>
  <c r="BN33" i="93"/>
  <c r="X22" i="23"/>
  <c r="AD22" i="24" s="1"/>
  <c r="T22" i="23"/>
  <c r="Y22" i="24" s="1"/>
  <c r="P21" i="23"/>
  <c r="T21" i="24" s="1"/>
  <c r="DE33" i="84"/>
  <c r="L33" i="84" s="1"/>
  <c r="BN33" i="84"/>
  <c r="BN33" i="88"/>
  <c r="K33" i="88" s="1"/>
  <c r="K34" i="92"/>
  <c r="BN34" i="90"/>
  <c r="K34" i="90" s="1"/>
  <c r="BN34" i="86"/>
  <c r="K34" i="86" s="1"/>
  <c r="AS23" i="23"/>
  <c r="Z23" i="25"/>
  <c r="B35" i="93"/>
  <c r="A36" i="93"/>
  <c r="D34" i="93"/>
  <c r="AT22" i="23"/>
  <c r="AA22" i="25"/>
  <c r="AV21" i="23"/>
  <c r="AD21" i="25"/>
  <c r="AO24" i="23"/>
  <c r="U24" i="25"/>
  <c r="P24" i="25"/>
  <c r="AK24" i="23"/>
  <c r="AC23" i="23"/>
  <c r="F23" i="25"/>
  <c r="U24" i="23"/>
  <c r="Z24" i="24"/>
  <c r="U24" i="24"/>
  <c r="Q24" i="23"/>
  <c r="Q22" i="24"/>
  <c r="N22" i="23"/>
  <c r="D34" i="85"/>
  <c r="M23" i="23"/>
  <c r="P23" i="24"/>
  <c r="B35" i="85"/>
  <c r="A36" i="85"/>
  <c r="K23" i="24"/>
  <c r="I23" i="23"/>
  <c r="F23" i="24"/>
  <c r="E23" i="23"/>
  <c r="V23" i="24"/>
  <c r="R23" i="23"/>
  <c r="L22" i="24"/>
  <c r="J22" i="23"/>
  <c r="F22" i="23"/>
  <c r="G22" i="24"/>
  <c r="T22" i="25"/>
  <c r="AN22" i="23"/>
  <c r="AD22" i="23"/>
  <c r="G22" i="25"/>
  <c r="Q23" i="25"/>
  <c r="AL23" i="23"/>
  <c r="AR22" i="23"/>
  <c r="Y22" i="25"/>
  <c r="AF21" i="23"/>
  <c r="J21" i="25"/>
  <c r="V23" i="23"/>
  <c r="AA23" i="24"/>
  <c r="V23" i="25"/>
  <c r="AP23" i="23"/>
  <c r="O22" i="25"/>
  <c r="AJ22" i="23"/>
  <c r="AH23" i="23"/>
  <c r="L23" i="25"/>
  <c r="AG24" i="23"/>
  <c r="K24" i="25"/>
  <c r="Y23" i="23"/>
  <c r="A23" i="25"/>
  <c r="Z22" i="23"/>
  <c r="B22" i="25"/>
  <c r="E21" i="25"/>
  <c r="AB21" i="23"/>
  <c r="C14" i="82"/>
  <c r="B6" i="94" s="1"/>
  <c r="A6" i="94"/>
  <c r="B36" i="92"/>
  <c r="A37" i="92"/>
  <c r="D35" i="92"/>
  <c r="B36" i="91"/>
  <c r="A37" i="91"/>
  <c r="D35" i="91"/>
  <c r="D35" i="90"/>
  <c r="B36" i="90"/>
  <c r="A37" i="90"/>
  <c r="BO34" i="90"/>
  <c r="DE34" i="90"/>
  <c r="L34" i="90" s="1"/>
  <c r="B35" i="89"/>
  <c r="A36" i="89"/>
  <c r="D34" i="89"/>
  <c r="BO33" i="88"/>
  <c r="B35" i="88"/>
  <c r="A36" i="88"/>
  <c r="D34" i="88"/>
  <c r="B36" i="87"/>
  <c r="A37" i="87"/>
  <c r="D35" i="87"/>
  <c r="B36" i="86"/>
  <c r="A37" i="86"/>
  <c r="D35" i="86"/>
  <c r="D34" i="84"/>
  <c r="L22" i="23" s="1"/>
  <c r="O22" i="24" s="1"/>
  <c r="B35" i="84"/>
  <c r="A36" i="84"/>
  <c r="D34" i="83"/>
  <c r="H22" i="23" s="1"/>
  <c r="J22" i="24" s="1"/>
  <c r="A36" i="83"/>
  <c r="B35" i="83"/>
  <c r="AC34" i="25"/>
  <c r="AB34" i="25"/>
  <c r="X34" i="25"/>
  <c r="W34" i="25"/>
  <c r="S34" i="25"/>
  <c r="R34" i="25"/>
  <c r="N34" i="25"/>
  <c r="M34" i="25"/>
  <c r="I34" i="25"/>
  <c r="H34" i="25"/>
  <c r="D34" i="25"/>
  <c r="C34" i="25"/>
  <c r="AC34" i="24"/>
  <c r="AB34" i="24"/>
  <c r="X34" i="24"/>
  <c r="W34" i="24"/>
  <c r="S34" i="24"/>
  <c r="R34" i="24"/>
  <c r="D34" i="24"/>
  <c r="H34" i="24"/>
  <c r="I34" i="24"/>
  <c r="J34" i="24"/>
  <c r="K34" i="24"/>
  <c r="M34" i="24"/>
  <c r="N34" i="24"/>
  <c r="O34" i="24"/>
  <c r="A1" i="24"/>
  <c r="A1" i="25" s="1"/>
  <c r="B5" i="21"/>
  <c r="DA36" i="87" l="1"/>
  <c r="CS36" i="87"/>
  <c r="CK36" i="87"/>
  <c r="CC36" i="87"/>
  <c r="CZ36" i="87"/>
  <c r="CR36" i="87"/>
  <c r="CJ36" i="87"/>
  <c r="CB36" i="87"/>
  <c r="CY36" i="87"/>
  <c r="CQ36" i="87"/>
  <c r="CI36" i="87"/>
  <c r="CA36" i="87"/>
  <c r="CX36" i="87"/>
  <c r="CP36" i="87"/>
  <c r="CH36" i="87"/>
  <c r="CW36" i="87"/>
  <c r="CO36" i="87"/>
  <c r="CG36" i="87"/>
  <c r="DD36" i="87"/>
  <c r="CV36" i="87"/>
  <c r="CN36" i="87"/>
  <c r="CF36" i="87"/>
  <c r="DC36" i="87"/>
  <c r="CU36" i="87"/>
  <c r="CM36" i="87"/>
  <c r="CE36" i="87"/>
  <c r="DB36" i="87"/>
  <c r="CT36" i="87"/>
  <c r="CL36" i="87"/>
  <c r="CD36" i="87"/>
  <c r="BJ36" i="87"/>
  <c r="BB36" i="87"/>
  <c r="AT36" i="87"/>
  <c r="AL36" i="87"/>
  <c r="BI36" i="87"/>
  <c r="BA36" i="87"/>
  <c r="AS36" i="87"/>
  <c r="AK36" i="87"/>
  <c r="BH36" i="87"/>
  <c r="AZ36" i="87"/>
  <c r="AR36" i="87"/>
  <c r="AJ36" i="87"/>
  <c r="BG36" i="87"/>
  <c r="AY36" i="87"/>
  <c r="AQ36" i="87"/>
  <c r="BF36" i="87"/>
  <c r="AX36" i="87"/>
  <c r="AP36" i="87"/>
  <c r="BM36" i="87"/>
  <c r="BE36" i="87"/>
  <c r="AW36" i="87"/>
  <c r="AO36" i="87"/>
  <c r="BL36" i="87"/>
  <c r="BD36" i="87"/>
  <c r="AV36" i="87"/>
  <c r="AN36" i="87"/>
  <c r="BK36" i="87"/>
  <c r="BC36" i="87"/>
  <c r="AU36" i="87"/>
  <c r="AM36" i="87"/>
  <c r="DA35" i="93"/>
  <c r="CS35" i="93"/>
  <c r="CK35" i="93"/>
  <c r="CC35" i="93"/>
  <c r="CZ35" i="93"/>
  <c r="CR35" i="93"/>
  <c r="CJ35" i="93"/>
  <c r="CB35" i="93"/>
  <c r="CY35" i="93"/>
  <c r="CQ35" i="93"/>
  <c r="CI35" i="93"/>
  <c r="CA35" i="93"/>
  <c r="CX35" i="93"/>
  <c r="CP35" i="93"/>
  <c r="CH35" i="93"/>
  <c r="CW35" i="93"/>
  <c r="CO35" i="93"/>
  <c r="CG35" i="93"/>
  <c r="DC35" i="93"/>
  <c r="CF35" i="93"/>
  <c r="DB35" i="93"/>
  <c r="CE35" i="93"/>
  <c r="CV35" i="93"/>
  <c r="CD35" i="93"/>
  <c r="CU35" i="93"/>
  <c r="CT35" i="93"/>
  <c r="CN35" i="93"/>
  <c r="CM35" i="93"/>
  <c r="DD35" i="93"/>
  <c r="CL35" i="93"/>
  <c r="BJ35" i="93"/>
  <c r="BB35" i="93"/>
  <c r="AT35" i="93"/>
  <c r="AL35" i="93"/>
  <c r="BI35" i="93"/>
  <c r="BA35" i="93"/>
  <c r="AS35" i="93"/>
  <c r="AK35" i="93"/>
  <c r="BH35" i="93"/>
  <c r="AZ35" i="93"/>
  <c r="AR35" i="93"/>
  <c r="AJ35" i="93"/>
  <c r="BF35" i="93"/>
  <c r="AX35" i="93"/>
  <c r="AP35" i="93"/>
  <c r="BL35" i="93"/>
  <c r="BD35" i="93"/>
  <c r="AV35" i="93"/>
  <c r="AN35" i="93"/>
  <c r="BK35" i="93"/>
  <c r="BC35" i="93"/>
  <c r="AU35" i="93"/>
  <c r="AM35" i="93"/>
  <c r="AY35" i="93"/>
  <c r="AW35" i="93"/>
  <c r="AQ35" i="93"/>
  <c r="AO35" i="93"/>
  <c r="BM35" i="93"/>
  <c r="BG35" i="93"/>
  <c r="BE35" i="93"/>
  <c r="CB35" i="88"/>
  <c r="CJ35" i="88"/>
  <c r="CR35" i="88"/>
  <c r="CZ35" i="88"/>
  <c r="CC35" i="88"/>
  <c r="CK35" i="88"/>
  <c r="CS35" i="88"/>
  <c r="DA35" i="88"/>
  <c r="CD35" i="88"/>
  <c r="CL35" i="88"/>
  <c r="CT35" i="88"/>
  <c r="DB35" i="88"/>
  <c r="CE35" i="88"/>
  <c r="CM35" i="88"/>
  <c r="CU35" i="88"/>
  <c r="DC35" i="88"/>
  <c r="CF35" i="88"/>
  <c r="CN35" i="88"/>
  <c r="CV35" i="88"/>
  <c r="DD35" i="88"/>
  <c r="CH35" i="88"/>
  <c r="CI35" i="88"/>
  <c r="CO35" i="88"/>
  <c r="CP35" i="88"/>
  <c r="CQ35" i="88"/>
  <c r="CW35" i="88"/>
  <c r="CA35" i="88"/>
  <c r="CX35" i="88"/>
  <c r="CG35" i="88"/>
  <c r="CY35" i="88"/>
  <c r="AQ35" i="88"/>
  <c r="AY35" i="88"/>
  <c r="BG35" i="88"/>
  <c r="AJ35" i="88"/>
  <c r="AR35" i="88"/>
  <c r="AZ35" i="88"/>
  <c r="BH35" i="88"/>
  <c r="AK35" i="88"/>
  <c r="AS35" i="88"/>
  <c r="BA35" i="88"/>
  <c r="BI35" i="88"/>
  <c r="AL35" i="88"/>
  <c r="AT35" i="88"/>
  <c r="BB35" i="88"/>
  <c r="BJ35" i="88"/>
  <c r="AM35" i="88"/>
  <c r="AU35" i="88"/>
  <c r="BC35" i="88"/>
  <c r="BK35" i="88"/>
  <c r="AN35" i="88"/>
  <c r="AV35" i="88"/>
  <c r="BD35" i="88"/>
  <c r="BL35" i="88"/>
  <c r="AO35" i="88"/>
  <c r="AW35" i="88"/>
  <c r="BE35" i="88"/>
  <c r="BM35" i="88"/>
  <c r="BF35" i="88"/>
  <c r="AP35" i="88"/>
  <c r="AX35" i="88"/>
  <c r="DA36" i="90"/>
  <c r="CS36" i="90"/>
  <c r="CK36" i="90"/>
  <c r="CB36" i="90"/>
  <c r="CZ36" i="90"/>
  <c r="CR36" i="90"/>
  <c r="CJ36" i="90"/>
  <c r="CA36" i="90"/>
  <c r="CY36" i="90"/>
  <c r="CQ36" i="90"/>
  <c r="CI36" i="90"/>
  <c r="CX36" i="90"/>
  <c r="CP36" i="90"/>
  <c r="CG36" i="90"/>
  <c r="CW36" i="90"/>
  <c r="CO36" i="90"/>
  <c r="CF36" i="90"/>
  <c r="DD36" i="90"/>
  <c r="CV36" i="90"/>
  <c r="CN36" i="90"/>
  <c r="CE36" i="90"/>
  <c r="CL36" i="90"/>
  <c r="CD36" i="90"/>
  <c r="CC36" i="90"/>
  <c r="DC36" i="90"/>
  <c r="DB36" i="90"/>
  <c r="CU36" i="90"/>
  <c r="CT36" i="90"/>
  <c r="CM36" i="90"/>
  <c r="BL36" i="90"/>
  <c r="BD36" i="90"/>
  <c r="AV36" i="90"/>
  <c r="AM36" i="90"/>
  <c r="BM36" i="90"/>
  <c r="BK36" i="90"/>
  <c r="BC36" i="90"/>
  <c r="AU36" i="90"/>
  <c r="AL36" i="90"/>
  <c r="BJ36" i="90"/>
  <c r="BB36" i="90"/>
  <c r="AT36" i="90"/>
  <c r="AK36" i="90"/>
  <c r="BI36" i="90"/>
  <c r="BA36" i="90"/>
  <c r="AS36" i="90"/>
  <c r="AJ36" i="90"/>
  <c r="BE36" i="90"/>
  <c r="BH36" i="90"/>
  <c r="AZ36" i="90"/>
  <c r="AR36" i="90"/>
  <c r="AN36" i="90"/>
  <c r="BG36" i="90"/>
  <c r="AY36" i="90"/>
  <c r="AP36" i="90"/>
  <c r="BF36" i="90"/>
  <c r="AX36" i="90"/>
  <c r="AO36" i="90"/>
  <c r="AW36" i="90"/>
  <c r="CH36" i="90"/>
  <c r="AQ36" i="90"/>
  <c r="BN35" i="92"/>
  <c r="BO35" i="92"/>
  <c r="CY36" i="92"/>
  <c r="CQ36" i="92"/>
  <c r="CI36" i="92"/>
  <c r="CX36" i="92"/>
  <c r="CP36" i="92"/>
  <c r="CH36" i="92"/>
  <c r="CW36" i="92"/>
  <c r="CO36" i="92"/>
  <c r="CG36" i="92"/>
  <c r="DD36" i="92"/>
  <c r="CV36" i="92"/>
  <c r="CN36" i="92"/>
  <c r="CE36" i="92"/>
  <c r="DC36" i="92"/>
  <c r="CU36" i="92"/>
  <c r="CM36" i="92"/>
  <c r="CD36" i="92"/>
  <c r="DB36" i="92"/>
  <c r="CT36" i="92"/>
  <c r="CL36" i="92"/>
  <c r="CC36" i="92"/>
  <c r="DA36" i="92"/>
  <c r="CS36" i="92"/>
  <c r="CK36" i="92"/>
  <c r="CB36" i="92"/>
  <c r="CZ36" i="92"/>
  <c r="CR36" i="92"/>
  <c r="CJ36" i="92"/>
  <c r="CA36" i="92"/>
  <c r="BF36" i="92"/>
  <c r="AX36" i="92"/>
  <c r="AP36" i="92"/>
  <c r="BM36" i="92"/>
  <c r="BE36" i="92"/>
  <c r="AW36" i="92"/>
  <c r="AN36" i="92"/>
  <c r="BG36" i="92"/>
  <c r="BL36" i="92"/>
  <c r="BD36" i="92"/>
  <c r="AV36" i="92"/>
  <c r="AM36" i="92"/>
  <c r="BK36" i="92"/>
  <c r="BC36" i="92"/>
  <c r="AU36" i="92"/>
  <c r="AL36" i="92"/>
  <c r="BJ36" i="92"/>
  <c r="BB36" i="92"/>
  <c r="AT36" i="92"/>
  <c r="AK36" i="92"/>
  <c r="BI36" i="92"/>
  <c r="BA36" i="92"/>
  <c r="AS36" i="92"/>
  <c r="AJ36" i="92"/>
  <c r="BH36" i="92"/>
  <c r="AZ36" i="92"/>
  <c r="AR36" i="92"/>
  <c r="AY36" i="92"/>
  <c r="AQ36" i="92"/>
  <c r="AO36" i="92"/>
  <c r="CF36" i="92"/>
  <c r="DA35" i="89"/>
  <c r="CS35" i="89"/>
  <c r="CK35" i="89"/>
  <c r="CC35" i="89"/>
  <c r="CZ35" i="89"/>
  <c r="CR35" i="89"/>
  <c r="CJ35" i="89"/>
  <c r="CB35" i="89"/>
  <c r="CY35" i="89"/>
  <c r="CQ35" i="89"/>
  <c r="CI35" i="89"/>
  <c r="CA35" i="89"/>
  <c r="CX35" i="89"/>
  <c r="CP35" i="89"/>
  <c r="CH35" i="89"/>
  <c r="DD35" i="89"/>
  <c r="CV35" i="89"/>
  <c r="CN35" i="89"/>
  <c r="CF35" i="89"/>
  <c r="DC35" i="89"/>
  <c r="CU35" i="89"/>
  <c r="CM35" i="89"/>
  <c r="CE35" i="89"/>
  <c r="DB35" i="89"/>
  <c r="CT35" i="89"/>
  <c r="CL35" i="89"/>
  <c r="CD35" i="89"/>
  <c r="CW35" i="89"/>
  <c r="CO35" i="89"/>
  <c r="CG35" i="89"/>
  <c r="BF35" i="89"/>
  <c r="AX35" i="89"/>
  <c r="AP35" i="89"/>
  <c r="BM35" i="89"/>
  <c r="BD35" i="89"/>
  <c r="AU35" i="89"/>
  <c r="AL35" i="89"/>
  <c r="BL35" i="89"/>
  <c r="BC35" i="89"/>
  <c r="AT35" i="89"/>
  <c r="AK35" i="89"/>
  <c r="BK35" i="89"/>
  <c r="BB35" i="89"/>
  <c r="AS35" i="89"/>
  <c r="AJ35" i="89"/>
  <c r="BJ35" i="89"/>
  <c r="BA35" i="89"/>
  <c r="AR35" i="89"/>
  <c r="BI35" i="89"/>
  <c r="AZ35" i="89"/>
  <c r="AQ35" i="89"/>
  <c r="BH35" i="89"/>
  <c r="AY35" i="89"/>
  <c r="AO35" i="89"/>
  <c r="BG35" i="89"/>
  <c r="AW35" i="89"/>
  <c r="AN35" i="89"/>
  <c r="BE35" i="89"/>
  <c r="AV35" i="89"/>
  <c r="AM35" i="89"/>
  <c r="BM36" i="91"/>
  <c r="BE36" i="91"/>
  <c r="AW36" i="91"/>
  <c r="AO36" i="91"/>
  <c r="BL36" i="91"/>
  <c r="BD36" i="91"/>
  <c r="AV36" i="91"/>
  <c r="AN36" i="91"/>
  <c r="BK36" i="91"/>
  <c r="BC36" i="91"/>
  <c r="AU36" i="91"/>
  <c r="AM36" i="91"/>
  <c r="BJ36" i="91"/>
  <c r="BB36" i="91"/>
  <c r="AT36" i="91"/>
  <c r="AL36" i="91"/>
  <c r="BI36" i="91"/>
  <c r="BA36" i="91"/>
  <c r="AS36" i="91"/>
  <c r="AK36" i="91"/>
  <c r="BH36" i="91"/>
  <c r="AZ36" i="91"/>
  <c r="AR36" i="91"/>
  <c r="AJ36" i="91"/>
  <c r="BG36" i="91"/>
  <c r="AY36" i="91"/>
  <c r="AQ36" i="91"/>
  <c r="BF36" i="91"/>
  <c r="AX36" i="91"/>
  <c r="AP36" i="91"/>
  <c r="CW36" i="91"/>
  <c r="CO36" i="91"/>
  <c r="CG36" i="91"/>
  <c r="DD36" i="91"/>
  <c r="CV36" i="91"/>
  <c r="CN36" i="91"/>
  <c r="CF36" i="91"/>
  <c r="DC36" i="91"/>
  <c r="CU36" i="91"/>
  <c r="CM36" i="91"/>
  <c r="CE36" i="91"/>
  <c r="DB36" i="91"/>
  <c r="CT36" i="91"/>
  <c r="CL36" i="91"/>
  <c r="CD36" i="91"/>
  <c r="DA36" i="91"/>
  <c r="CS36" i="91"/>
  <c r="CK36" i="91"/>
  <c r="CC36" i="91"/>
  <c r="CJ36" i="91"/>
  <c r="CI36" i="91"/>
  <c r="CY36" i="91"/>
  <c r="CB36" i="91"/>
  <c r="CX36" i="91"/>
  <c r="CA36" i="91"/>
  <c r="CR36" i="91"/>
  <c r="CQ36" i="91"/>
  <c r="CP36" i="91"/>
  <c r="CZ36" i="91"/>
  <c r="CH36" i="91"/>
  <c r="CW36" i="86"/>
  <c r="CO36" i="86"/>
  <c r="CG36" i="86"/>
  <c r="DD36" i="86"/>
  <c r="CV36" i="86"/>
  <c r="CN36" i="86"/>
  <c r="CF36" i="86"/>
  <c r="DC36" i="86"/>
  <c r="CU36" i="86"/>
  <c r="CM36" i="86"/>
  <c r="CE36" i="86"/>
  <c r="DA36" i="86"/>
  <c r="CS36" i="86"/>
  <c r="CK36" i="86"/>
  <c r="CC36" i="86"/>
  <c r="CZ36" i="86"/>
  <c r="CR36" i="86"/>
  <c r="CJ36" i="86"/>
  <c r="CB36" i="86"/>
  <c r="CX36" i="86"/>
  <c r="CP36" i="86"/>
  <c r="CH36" i="86"/>
  <c r="CI36" i="86"/>
  <c r="CD36" i="86"/>
  <c r="CA36" i="86"/>
  <c r="DB36" i="86"/>
  <c r="CY36" i="86"/>
  <c r="CT36" i="86"/>
  <c r="CQ36" i="86"/>
  <c r="CL36" i="86"/>
  <c r="BK36" i="86"/>
  <c r="BC36" i="86"/>
  <c r="AU36" i="86"/>
  <c r="AM36" i="86"/>
  <c r="BG36" i="86"/>
  <c r="AX36" i="86"/>
  <c r="AO36" i="86"/>
  <c r="BF36" i="86"/>
  <c r="AW36" i="86"/>
  <c r="AN36" i="86"/>
  <c r="BE36" i="86"/>
  <c r="AV36" i="86"/>
  <c r="AL36" i="86"/>
  <c r="BM36" i="86"/>
  <c r="BD36" i="86"/>
  <c r="AT36" i="86"/>
  <c r="AK36" i="86"/>
  <c r="BL36" i="86"/>
  <c r="BB36" i="86"/>
  <c r="AS36" i="86"/>
  <c r="AJ36" i="86"/>
  <c r="BJ36" i="86"/>
  <c r="BA36" i="86"/>
  <c r="AR36" i="86"/>
  <c r="BI36" i="86"/>
  <c r="AZ36" i="86"/>
  <c r="AQ36" i="86"/>
  <c r="BH36" i="86"/>
  <c r="AY36" i="86"/>
  <c r="AP36" i="86"/>
  <c r="DA35" i="85"/>
  <c r="CS35" i="85"/>
  <c r="CK35" i="85"/>
  <c r="CC35" i="85"/>
  <c r="CZ35" i="85"/>
  <c r="CR35" i="85"/>
  <c r="CJ35" i="85"/>
  <c r="CB35" i="85"/>
  <c r="CX35" i="85"/>
  <c r="CP35" i="85"/>
  <c r="CH35" i="85"/>
  <c r="CW35" i="85"/>
  <c r="CO35" i="85"/>
  <c r="CG35" i="85"/>
  <c r="DD35" i="85"/>
  <c r="CV35" i="85"/>
  <c r="CN35" i="85"/>
  <c r="CF35" i="85"/>
  <c r="CU35" i="85"/>
  <c r="CA35" i="85"/>
  <c r="CT35" i="85"/>
  <c r="CQ35" i="85"/>
  <c r="CM35" i="85"/>
  <c r="CL35" i="85"/>
  <c r="DC35" i="85"/>
  <c r="CI35" i="85"/>
  <c r="DB35" i="85"/>
  <c r="CE35" i="85"/>
  <c r="CY35" i="85"/>
  <c r="CD35" i="85"/>
  <c r="BM35" i="85"/>
  <c r="BE35" i="85"/>
  <c r="AW35" i="85"/>
  <c r="AO35" i="85"/>
  <c r="BL35" i="85"/>
  <c r="BD35" i="85"/>
  <c r="AV35" i="85"/>
  <c r="AN35" i="85"/>
  <c r="BK35" i="85"/>
  <c r="BC35" i="85"/>
  <c r="AU35" i="85"/>
  <c r="AM35" i="85"/>
  <c r="BJ35" i="85"/>
  <c r="BB35" i="85"/>
  <c r="AT35" i="85"/>
  <c r="AL35" i="85"/>
  <c r="BH35" i="85"/>
  <c r="AR35" i="85"/>
  <c r="BG35" i="85"/>
  <c r="AQ35" i="85"/>
  <c r="BF35" i="85"/>
  <c r="AP35" i="85"/>
  <c r="BA35" i="85"/>
  <c r="AK35" i="85"/>
  <c r="AZ35" i="85"/>
  <c r="AJ35" i="85"/>
  <c r="AY35" i="85"/>
  <c r="AX35" i="85"/>
  <c r="BI35" i="85"/>
  <c r="AS35" i="85"/>
  <c r="AO35" i="83"/>
  <c r="AW35" i="83"/>
  <c r="BE35" i="83"/>
  <c r="BM35" i="83"/>
  <c r="CC35" i="83"/>
  <c r="CK35" i="83"/>
  <c r="CS35" i="83"/>
  <c r="DA35" i="83"/>
  <c r="CM35" i="83"/>
  <c r="AP35" i="83"/>
  <c r="AX35" i="83"/>
  <c r="BF35" i="83"/>
  <c r="CD35" i="83"/>
  <c r="CL35" i="83"/>
  <c r="CT35" i="83"/>
  <c r="DB35" i="83"/>
  <c r="CE35" i="83"/>
  <c r="DC35" i="83"/>
  <c r="CG35" i="83"/>
  <c r="AQ35" i="83"/>
  <c r="AY35" i="83"/>
  <c r="BG35" i="83"/>
  <c r="CU35" i="83"/>
  <c r="AJ35" i="83"/>
  <c r="AR35" i="83"/>
  <c r="AZ35" i="83"/>
  <c r="BH35" i="83"/>
  <c r="CF35" i="83"/>
  <c r="CN35" i="83"/>
  <c r="CV35" i="83"/>
  <c r="DD35" i="83"/>
  <c r="CW35" i="83"/>
  <c r="AK35" i="83"/>
  <c r="AS35" i="83"/>
  <c r="BA35" i="83"/>
  <c r="BI35" i="83"/>
  <c r="CO35" i="83"/>
  <c r="AV35" i="83"/>
  <c r="CP35" i="83"/>
  <c r="BB35" i="83"/>
  <c r="CQ35" i="83"/>
  <c r="BC35" i="83"/>
  <c r="CR35" i="83"/>
  <c r="AL35" i="83"/>
  <c r="BD35" i="83"/>
  <c r="CA35" i="83"/>
  <c r="CX35" i="83"/>
  <c r="AM35" i="83"/>
  <c r="BJ35" i="83"/>
  <c r="CB35" i="83"/>
  <c r="CY35" i="83"/>
  <c r="CH35" i="83"/>
  <c r="AN35" i="83"/>
  <c r="BK35" i="83"/>
  <c r="CZ35" i="83"/>
  <c r="AT35" i="83"/>
  <c r="BL35" i="83"/>
  <c r="CI35" i="83"/>
  <c r="AU35" i="83"/>
  <c r="CJ35" i="83"/>
  <c r="DD35" i="84"/>
  <c r="CV35" i="84"/>
  <c r="CN35" i="84"/>
  <c r="CF35" i="84"/>
  <c r="DC35" i="84"/>
  <c r="CU35" i="84"/>
  <c r="CM35" i="84"/>
  <c r="CE35" i="84"/>
  <c r="CY35" i="84"/>
  <c r="CO35" i="84"/>
  <c r="CC35" i="84"/>
  <c r="CW35" i="84"/>
  <c r="CK35" i="84"/>
  <c r="CT35" i="84"/>
  <c r="CS35" i="84"/>
  <c r="CQ35" i="84"/>
  <c r="CA35" i="84"/>
  <c r="CP35" i="84"/>
  <c r="CL35" i="84"/>
  <c r="DB35" i="84"/>
  <c r="CJ35" i="84"/>
  <c r="DA35" i="84"/>
  <c r="CI35" i="84"/>
  <c r="CR35" i="84"/>
  <c r="CH35" i="84"/>
  <c r="CG35" i="84"/>
  <c r="CD35" i="84"/>
  <c r="CZ35" i="84"/>
  <c r="CX35" i="84"/>
  <c r="BL35" i="84"/>
  <c r="BD35" i="84"/>
  <c r="AV35" i="84"/>
  <c r="AN35" i="84"/>
  <c r="BK35" i="84"/>
  <c r="BC35" i="84"/>
  <c r="AU35" i="84"/>
  <c r="AM35" i="84"/>
  <c r="BJ35" i="84"/>
  <c r="BB35" i="84"/>
  <c r="AT35" i="84"/>
  <c r="AL35" i="84"/>
  <c r="BI35" i="84"/>
  <c r="BA35" i="84"/>
  <c r="AS35" i="84"/>
  <c r="AJ35" i="84"/>
  <c r="BH35" i="84"/>
  <c r="AZ35" i="84"/>
  <c r="AR35" i="84"/>
  <c r="BG35" i="84"/>
  <c r="AY35" i="84"/>
  <c r="AQ35" i="84"/>
  <c r="BF35" i="84"/>
  <c r="AX35" i="84"/>
  <c r="AP35" i="84"/>
  <c r="BM35" i="84"/>
  <c r="BE35" i="84"/>
  <c r="AW35" i="84"/>
  <c r="AO35" i="84"/>
  <c r="A22" i="95"/>
  <c r="BG32" i="43"/>
  <c r="Q31" i="43"/>
  <c r="B21" i="47" s="1"/>
  <c r="AS31" i="43"/>
  <c r="B21" i="48" s="1"/>
  <c r="AE31" i="43"/>
  <c r="B21" i="49" s="1"/>
  <c r="C32" i="43"/>
  <c r="B22" i="46" s="1"/>
  <c r="BN34" i="93"/>
  <c r="K34" i="93" s="1"/>
  <c r="DE34" i="93"/>
  <c r="L34" i="93" s="1"/>
  <c r="X23" i="23"/>
  <c r="AD23" i="24" s="1"/>
  <c r="T23" i="23"/>
  <c r="Y23" i="24" s="1"/>
  <c r="DE35" i="86"/>
  <c r="L35" i="86" s="1"/>
  <c r="P22" i="23"/>
  <c r="T22" i="24" s="1"/>
  <c r="BN34" i="89"/>
  <c r="K34" i="89" s="1"/>
  <c r="BN34" i="83"/>
  <c r="BN34" i="84"/>
  <c r="K35" i="92"/>
  <c r="BN34" i="85"/>
  <c r="K34" i="85" s="1"/>
  <c r="BN35" i="86"/>
  <c r="K35" i="86" s="1"/>
  <c r="Z24" i="25"/>
  <c r="AS24" i="23"/>
  <c r="B36" i="93"/>
  <c r="A37" i="93"/>
  <c r="BO34" i="93"/>
  <c r="AT23" i="23"/>
  <c r="AA23" i="25"/>
  <c r="D35" i="93"/>
  <c r="AV22" i="23"/>
  <c r="AD22" i="25"/>
  <c r="U25" i="25"/>
  <c r="AO25" i="23"/>
  <c r="AK25" i="23"/>
  <c r="P25" i="25"/>
  <c r="AC24" i="23"/>
  <c r="F24" i="25"/>
  <c r="Z25" i="24"/>
  <c r="U25" i="23"/>
  <c r="Q25" i="23"/>
  <c r="U25" i="24"/>
  <c r="P24" i="24"/>
  <c r="M24" i="23"/>
  <c r="A37" i="85"/>
  <c r="B36" i="85"/>
  <c r="N23" i="23"/>
  <c r="Q23" i="24"/>
  <c r="D35" i="85"/>
  <c r="BO34" i="85"/>
  <c r="I24" i="23"/>
  <c r="K24" i="24"/>
  <c r="F24" i="24"/>
  <c r="E24" i="23"/>
  <c r="R24" i="23"/>
  <c r="V24" i="24"/>
  <c r="L23" i="24"/>
  <c r="J23" i="23"/>
  <c r="F23" i="23"/>
  <c r="G23" i="24"/>
  <c r="Q24" i="25"/>
  <c r="AL24" i="23"/>
  <c r="Y23" i="25"/>
  <c r="AR23" i="23"/>
  <c r="J22" i="25"/>
  <c r="AF22" i="23"/>
  <c r="V24" i="23"/>
  <c r="AA24" i="24"/>
  <c r="AN23" i="23"/>
  <c r="T23" i="25"/>
  <c r="AP24" i="23"/>
  <c r="V24" i="25"/>
  <c r="G23" i="25"/>
  <c r="AD23" i="23"/>
  <c r="AJ23" i="23"/>
  <c r="O23" i="25"/>
  <c r="K25" i="25"/>
  <c r="AG25" i="23"/>
  <c r="L24" i="25"/>
  <c r="AH24" i="23"/>
  <c r="Y24" i="23"/>
  <c r="A24" i="25"/>
  <c r="B23" i="25"/>
  <c r="Z23" i="23"/>
  <c r="AB22" i="23"/>
  <c r="E22" i="25"/>
  <c r="B15" i="82"/>
  <c r="A38" i="92"/>
  <c r="B37" i="92"/>
  <c r="D36" i="92"/>
  <c r="B37" i="91"/>
  <c r="A38" i="91"/>
  <c r="D36" i="91"/>
  <c r="B37" i="90"/>
  <c r="A38" i="90"/>
  <c r="D36" i="90"/>
  <c r="B36" i="89"/>
  <c r="A37" i="89"/>
  <c r="D35" i="89"/>
  <c r="B36" i="88"/>
  <c r="A37" i="88"/>
  <c r="D35" i="88"/>
  <c r="B37" i="87"/>
  <c r="A38" i="87"/>
  <c r="D36" i="87"/>
  <c r="B37" i="86"/>
  <c r="A38" i="86"/>
  <c r="D36" i="86"/>
  <c r="A37" i="84"/>
  <c r="B36" i="84"/>
  <c r="D35" i="84"/>
  <c r="L23" i="23" s="1"/>
  <c r="O23" i="24" s="1"/>
  <c r="D35" i="83"/>
  <c r="H23" i="23" s="1"/>
  <c r="J23" i="24" s="1"/>
  <c r="A37" i="83"/>
  <c r="B36" i="83"/>
  <c r="D31" i="24"/>
  <c r="D10" i="24"/>
  <c r="D33" i="24"/>
  <c r="D25" i="24"/>
  <c r="D17" i="24"/>
  <c r="D9" i="24"/>
  <c r="D18" i="24"/>
  <c r="D24" i="24"/>
  <c r="D23" i="24"/>
  <c r="D15" i="24"/>
  <c r="D22" i="24"/>
  <c r="D3" i="24"/>
  <c r="D26" i="24"/>
  <c r="D8" i="24"/>
  <c r="D30" i="24"/>
  <c r="D29" i="24"/>
  <c r="D21" i="24"/>
  <c r="D13" i="24"/>
  <c r="D5" i="24"/>
  <c r="D19" i="24"/>
  <c r="D11" i="24"/>
  <c r="D28" i="24"/>
  <c r="D7" i="24"/>
  <c r="D4" i="24"/>
  <c r="D14" i="24"/>
  <c r="D20" i="24"/>
  <c r="D27" i="24"/>
  <c r="D12" i="24"/>
  <c r="D32" i="24"/>
  <c r="D16" i="24"/>
  <c r="D6" i="24"/>
  <c r="BN36" i="92" l="1"/>
  <c r="BO36" i="92"/>
  <c r="BG37" i="91"/>
  <c r="AY37" i="91"/>
  <c r="AQ37" i="91"/>
  <c r="BF37" i="91"/>
  <c r="AX37" i="91"/>
  <c r="AP37" i="91"/>
  <c r="BM37" i="91"/>
  <c r="BE37" i="91"/>
  <c r="AW37" i="91"/>
  <c r="AO37" i="91"/>
  <c r="BL37" i="91"/>
  <c r="BD37" i="91"/>
  <c r="AV37" i="91"/>
  <c r="AN37" i="91"/>
  <c r="BK37" i="91"/>
  <c r="BC37" i="91"/>
  <c r="AU37" i="91"/>
  <c r="AM37" i="91"/>
  <c r="BJ37" i="91"/>
  <c r="BB37" i="91"/>
  <c r="AT37" i="91"/>
  <c r="AL37" i="91"/>
  <c r="BI37" i="91"/>
  <c r="BA37" i="91"/>
  <c r="AS37" i="91"/>
  <c r="AK37" i="91"/>
  <c r="BH37" i="91"/>
  <c r="AZ37" i="91"/>
  <c r="AR37" i="91"/>
  <c r="AJ37" i="91"/>
  <c r="CY37" i="91"/>
  <c r="CQ37" i="91"/>
  <c r="CI37" i="91"/>
  <c r="CA37" i="91"/>
  <c r="CX37" i="91"/>
  <c r="CP37" i="91"/>
  <c r="CH37" i="91"/>
  <c r="CW37" i="91"/>
  <c r="CO37" i="91"/>
  <c r="CG37" i="91"/>
  <c r="DD37" i="91"/>
  <c r="CV37" i="91"/>
  <c r="CN37" i="91"/>
  <c r="CF37" i="91"/>
  <c r="DC37" i="91"/>
  <c r="CU37" i="91"/>
  <c r="CM37" i="91"/>
  <c r="CE37" i="91"/>
  <c r="CZ37" i="91"/>
  <c r="CC37" i="91"/>
  <c r="CT37" i="91"/>
  <c r="CB37" i="91"/>
  <c r="CR37" i="91"/>
  <c r="CL37" i="91"/>
  <c r="CK37" i="91"/>
  <c r="DB37" i="91"/>
  <c r="CJ37" i="91"/>
  <c r="DA37" i="91"/>
  <c r="CD37" i="91"/>
  <c r="CS37" i="91"/>
  <c r="DC36" i="89"/>
  <c r="CU36" i="89"/>
  <c r="CM36" i="89"/>
  <c r="CE36" i="89"/>
  <c r="DB36" i="89"/>
  <c r="CT36" i="89"/>
  <c r="CL36" i="89"/>
  <c r="CD36" i="89"/>
  <c r="DA36" i="89"/>
  <c r="CS36" i="89"/>
  <c r="CK36" i="89"/>
  <c r="CC36" i="89"/>
  <c r="CZ36" i="89"/>
  <c r="CR36" i="89"/>
  <c r="CJ36" i="89"/>
  <c r="CB36" i="89"/>
  <c r="CX36" i="89"/>
  <c r="CP36" i="89"/>
  <c r="CH36" i="89"/>
  <c r="CW36" i="89"/>
  <c r="CO36" i="89"/>
  <c r="CG36" i="89"/>
  <c r="DD36" i="89"/>
  <c r="CV36" i="89"/>
  <c r="CN36" i="89"/>
  <c r="CF36" i="89"/>
  <c r="CQ36" i="89"/>
  <c r="CI36" i="89"/>
  <c r="CA36" i="89"/>
  <c r="CY36" i="89"/>
  <c r="BH36" i="89"/>
  <c r="AZ36" i="89"/>
  <c r="AR36" i="89"/>
  <c r="AJ36" i="89"/>
  <c r="BF36" i="89"/>
  <c r="AX36" i="89"/>
  <c r="AP36" i="89"/>
  <c r="BL36" i="89"/>
  <c r="BD36" i="89"/>
  <c r="AT36" i="89"/>
  <c r="BC36" i="89"/>
  <c r="AS36" i="89"/>
  <c r="BM36" i="89"/>
  <c r="BB36" i="89"/>
  <c r="AQ36" i="89"/>
  <c r="BK36" i="89"/>
  <c r="BA36" i="89"/>
  <c r="AO36" i="89"/>
  <c r="BJ36" i="89"/>
  <c r="AY36" i="89"/>
  <c r="AN36" i="89"/>
  <c r="BI36" i="89"/>
  <c r="AW36" i="89"/>
  <c r="AM36" i="89"/>
  <c r="BG36" i="89"/>
  <c r="AV36" i="89"/>
  <c r="AL36" i="89"/>
  <c r="BE36" i="89"/>
  <c r="AU36" i="89"/>
  <c r="AK36" i="89"/>
  <c r="DA37" i="92"/>
  <c r="CS37" i="92"/>
  <c r="CK37" i="92"/>
  <c r="CB37" i="92"/>
  <c r="DD37" i="92"/>
  <c r="CV37" i="92"/>
  <c r="CX37" i="92"/>
  <c r="CN37" i="92"/>
  <c r="CD37" i="92"/>
  <c r="CW37" i="92"/>
  <c r="CM37" i="92"/>
  <c r="CC37" i="92"/>
  <c r="CU37" i="92"/>
  <c r="CL37" i="92"/>
  <c r="CA37" i="92"/>
  <c r="CT37" i="92"/>
  <c r="CJ37" i="92"/>
  <c r="DC37" i="92"/>
  <c r="CR37" i="92"/>
  <c r="CI37" i="92"/>
  <c r="DB37" i="92"/>
  <c r="CQ37" i="92"/>
  <c r="CH37" i="92"/>
  <c r="CZ37" i="92"/>
  <c r="CP37" i="92"/>
  <c r="CF37" i="92"/>
  <c r="CY37" i="92"/>
  <c r="CO37" i="92"/>
  <c r="CE37" i="92"/>
  <c r="BI37" i="92"/>
  <c r="BA37" i="92"/>
  <c r="AS37" i="92"/>
  <c r="AJ37" i="92"/>
  <c r="BJ37" i="92"/>
  <c r="BH37" i="92"/>
  <c r="AZ37" i="92"/>
  <c r="AR37" i="92"/>
  <c r="BG37" i="92"/>
  <c r="AY37" i="92"/>
  <c r="AQ37" i="92"/>
  <c r="BB37" i="92"/>
  <c r="BF37" i="92"/>
  <c r="AX37" i="92"/>
  <c r="AO37" i="92"/>
  <c r="BM37" i="92"/>
  <c r="BE37" i="92"/>
  <c r="AW37" i="92"/>
  <c r="AN37" i="92"/>
  <c r="AK37" i="92"/>
  <c r="BL37" i="92"/>
  <c r="BD37" i="92"/>
  <c r="AV37" i="92"/>
  <c r="AM37" i="92"/>
  <c r="AT37" i="92"/>
  <c r="BK37" i="92"/>
  <c r="BC37" i="92"/>
  <c r="AU37" i="92"/>
  <c r="AL37" i="92"/>
  <c r="CG37" i="92"/>
  <c r="AP37" i="92"/>
  <c r="DC36" i="93"/>
  <c r="CU36" i="93"/>
  <c r="CM36" i="93"/>
  <c r="CE36" i="93"/>
  <c r="DB36" i="93"/>
  <c r="CT36" i="93"/>
  <c r="CL36" i="93"/>
  <c r="CD36" i="93"/>
  <c r="DA36" i="93"/>
  <c r="CS36" i="93"/>
  <c r="CK36" i="93"/>
  <c r="CC36" i="93"/>
  <c r="CZ36" i="93"/>
  <c r="CR36" i="93"/>
  <c r="CJ36" i="93"/>
  <c r="CB36" i="93"/>
  <c r="CY36" i="93"/>
  <c r="CQ36" i="93"/>
  <c r="CI36" i="93"/>
  <c r="CA36" i="93"/>
  <c r="CV36" i="93"/>
  <c r="CP36" i="93"/>
  <c r="CO36" i="93"/>
  <c r="CN36" i="93"/>
  <c r="CH36" i="93"/>
  <c r="DD36" i="93"/>
  <c r="CG36" i="93"/>
  <c r="CX36" i="93"/>
  <c r="CF36" i="93"/>
  <c r="CW36" i="93"/>
  <c r="BL36" i="93"/>
  <c r="BD36" i="93"/>
  <c r="AV36" i="93"/>
  <c r="AN36" i="93"/>
  <c r="BK36" i="93"/>
  <c r="BC36" i="93"/>
  <c r="AU36" i="93"/>
  <c r="AM36" i="93"/>
  <c r="BJ36" i="93"/>
  <c r="BB36" i="93"/>
  <c r="AT36" i="93"/>
  <c r="AL36" i="93"/>
  <c r="BH36" i="93"/>
  <c r="AZ36" i="93"/>
  <c r="AR36" i="93"/>
  <c r="AJ36" i="93"/>
  <c r="BF36" i="93"/>
  <c r="AX36" i="93"/>
  <c r="AP36" i="93"/>
  <c r="BM36" i="93"/>
  <c r="BE36" i="93"/>
  <c r="AW36" i="93"/>
  <c r="AO36" i="93"/>
  <c r="BA36" i="93"/>
  <c r="AY36" i="93"/>
  <c r="AS36" i="93"/>
  <c r="AQ36" i="93"/>
  <c r="AK36" i="93"/>
  <c r="BI36" i="93"/>
  <c r="BG36" i="93"/>
  <c r="DC37" i="87"/>
  <c r="CU37" i="87"/>
  <c r="CM37" i="87"/>
  <c r="CE37" i="87"/>
  <c r="DB37" i="87"/>
  <c r="CT37" i="87"/>
  <c r="CL37" i="87"/>
  <c r="CD37" i="87"/>
  <c r="DA37" i="87"/>
  <c r="CS37" i="87"/>
  <c r="CK37" i="87"/>
  <c r="CC37" i="87"/>
  <c r="CZ37" i="87"/>
  <c r="CR37" i="87"/>
  <c r="CJ37" i="87"/>
  <c r="CB37" i="87"/>
  <c r="CY37" i="87"/>
  <c r="CQ37" i="87"/>
  <c r="CI37" i="87"/>
  <c r="CA37" i="87"/>
  <c r="CX37" i="87"/>
  <c r="CP37" i="87"/>
  <c r="CH37" i="87"/>
  <c r="CW37" i="87"/>
  <c r="CO37" i="87"/>
  <c r="CG37" i="87"/>
  <c r="DD37" i="87"/>
  <c r="CV37" i="87"/>
  <c r="CN37" i="87"/>
  <c r="CF37" i="87"/>
  <c r="BL37" i="87"/>
  <c r="BD37" i="87"/>
  <c r="AV37" i="87"/>
  <c r="AN37" i="87"/>
  <c r="BK37" i="87"/>
  <c r="BC37" i="87"/>
  <c r="AU37" i="87"/>
  <c r="AM37" i="87"/>
  <c r="BJ37" i="87"/>
  <c r="BB37" i="87"/>
  <c r="AT37" i="87"/>
  <c r="AL37" i="87"/>
  <c r="BI37" i="87"/>
  <c r="BA37" i="87"/>
  <c r="AS37" i="87"/>
  <c r="AK37" i="87"/>
  <c r="BH37" i="87"/>
  <c r="AZ37" i="87"/>
  <c r="AR37" i="87"/>
  <c r="AJ37" i="87"/>
  <c r="BG37" i="87"/>
  <c r="AY37" i="87"/>
  <c r="AQ37" i="87"/>
  <c r="BF37" i="87"/>
  <c r="AX37" i="87"/>
  <c r="AP37" i="87"/>
  <c r="BM37" i="87"/>
  <c r="BE37" i="87"/>
  <c r="AW37" i="87"/>
  <c r="AO37" i="87"/>
  <c r="CD36" i="88"/>
  <c r="CL36" i="88"/>
  <c r="CT36" i="88"/>
  <c r="DB36" i="88"/>
  <c r="CE36" i="88"/>
  <c r="CM36" i="88"/>
  <c r="CU36" i="88"/>
  <c r="DC36" i="88"/>
  <c r="CF36" i="88"/>
  <c r="CN36" i="88"/>
  <c r="CV36" i="88"/>
  <c r="DD36" i="88"/>
  <c r="CG36" i="88"/>
  <c r="CO36" i="88"/>
  <c r="CW36" i="88"/>
  <c r="CH36" i="88"/>
  <c r="CP36" i="88"/>
  <c r="CX36" i="88"/>
  <c r="CA36" i="88"/>
  <c r="CS36" i="88"/>
  <c r="CB36" i="88"/>
  <c r="CY36" i="88"/>
  <c r="CC36" i="88"/>
  <c r="CZ36" i="88"/>
  <c r="CI36" i="88"/>
  <c r="DA36" i="88"/>
  <c r="CJ36" i="88"/>
  <c r="CK36" i="88"/>
  <c r="CQ36" i="88"/>
  <c r="CR36" i="88"/>
  <c r="AK36" i="88"/>
  <c r="AS36" i="88"/>
  <c r="BA36" i="88"/>
  <c r="BI36" i="88"/>
  <c r="AL36" i="88"/>
  <c r="AT36" i="88"/>
  <c r="BB36" i="88"/>
  <c r="BJ36" i="88"/>
  <c r="AM36" i="88"/>
  <c r="AU36" i="88"/>
  <c r="BC36" i="88"/>
  <c r="BK36" i="88"/>
  <c r="AN36" i="88"/>
  <c r="AV36" i="88"/>
  <c r="BD36" i="88"/>
  <c r="BL36" i="88"/>
  <c r="AO36" i="88"/>
  <c r="AW36" i="88"/>
  <c r="BE36" i="88"/>
  <c r="BM36" i="88"/>
  <c r="AP36" i="88"/>
  <c r="AX36" i="88"/>
  <c r="BF36" i="88"/>
  <c r="AQ36" i="88"/>
  <c r="AY36" i="88"/>
  <c r="BG36" i="88"/>
  <c r="AJ36" i="88"/>
  <c r="AR36" i="88"/>
  <c r="BH36" i="88"/>
  <c r="AZ36" i="88"/>
  <c r="DD37" i="90"/>
  <c r="CV37" i="90"/>
  <c r="CN37" i="90"/>
  <c r="CE37" i="90"/>
  <c r="DC37" i="90"/>
  <c r="CU37" i="90"/>
  <c r="CM37" i="90"/>
  <c r="CD37" i="90"/>
  <c r="DB37" i="90"/>
  <c r="CT37" i="90"/>
  <c r="CL37" i="90"/>
  <c r="CC37" i="90"/>
  <c r="DA37" i="90"/>
  <c r="CS37" i="90"/>
  <c r="CK37" i="90"/>
  <c r="CB37" i="90"/>
  <c r="CZ37" i="90"/>
  <c r="CR37" i="90"/>
  <c r="CJ37" i="90"/>
  <c r="CA37" i="90"/>
  <c r="CY37" i="90"/>
  <c r="CQ37" i="90"/>
  <c r="CH37" i="90"/>
  <c r="CO37" i="90"/>
  <c r="CG37" i="90"/>
  <c r="CF37" i="90"/>
  <c r="CX37" i="90"/>
  <c r="CW37" i="90"/>
  <c r="CP37" i="90"/>
  <c r="BG37" i="90"/>
  <c r="AY37" i="90"/>
  <c r="AP37" i="90"/>
  <c r="BF37" i="90"/>
  <c r="AX37" i="90"/>
  <c r="AO37" i="90"/>
  <c r="BM37" i="90"/>
  <c r="BE37" i="90"/>
  <c r="AW37" i="90"/>
  <c r="AN37" i="90"/>
  <c r="AZ37" i="90"/>
  <c r="BL37" i="90"/>
  <c r="BD37" i="90"/>
  <c r="AV37" i="90"/>
  <c r="AM37" i="90"/>
  <c r="BK37" i="90"/>
  <c r="BC37" i="90"/>
  <c r="AU37" i="90"/>
  <c r="AL37" i="90"/>
  <c r="AQ37" i="90"/>
  <c r="BJ37" i="90"/>
  <c r="BB37" i="90"/>
  <c r="AT37" i="90"/>
  <c r="AK37" i="90"/>
  <c r="BI37" i="90"/>
  <c r="BA37" i="90"/>
  <c r="AS37" i="90"/>
  <c r="AJ37" i="90"/>
  <c r="BH37" i="90"/>
  <c r="AR37" i="90"/>
  <c r="CI37" i="90"/>
  <c r="DC36" i="85"/>
  <c r="CU36" i="85"/>
  <c r="CM36" i="85"/>
  <c r="CE36" i="85"/>
  <c r="DB36" i="85"/>
  <c r="CT36" i="85"/>
  <c r="CL36" i="85"/>
  <c r="CD36" i="85"/>
  <c r="DA36" i="85"/>
  <c r="CS36" i="85"/>
  <c r="CK36" i="85"/>
  <c r="CC36" i="85"/>
  <c r="CZ36" i="85"/>
  <c r="CR36" i="85"/>
  <c r="CJ36" i="85"/>
  <c r="CB36" i="85"/>
  <c r="CY36" i="85"/>
  <c r="CQ36" i="85"/>
  <c r="CI36" i="85"/>
  <c r="CA36" i="85"/>
  <c r="CX36" i="85"/>
  <c r="CP36" i="85"/>
  <c r="CH36" i="85"/>
  <c r="CV36" i="85"/>
  <c r="CO36" i="85"/>
  <c r="CN36" i="85"/>
  <c r="CG36" i="85"/>
  <c r="CF36" i="85"/>
  <c r="DD36" i="85"/>
  <c r="CW36" i="85"/>
  <c r="BG36" i="85"/>
  <c r="AY36" i="85"/>
  <c r="AQ36" i="85"/>
  <c r="BF36" i="85"/>
  <c r="AX36" i="85"/>
  <c r="AP36" i="85"/>
  <c r="BM36" i="85"/>
  <c r="BE36" i="85"/>
  <c r="AW36" i="85"/>
  <c r="AO36" i="85"/>
  <c r="BL36" i="85"/>
  <c r="BD36" i="85"/>
  <c r="AV36" i="85"/>
  <c r="AN36" i="85"/>
  <c r="BJ36" i="85"/>
  <c r="AT36" i="85"/>
  <c r="BI36" i="85"/>
  <c r="AS36" i="85"/>
  <c r="BH36" i="85"/>
  <c r="AR36" i="85"/>
  <c r="BC36" i="85"/>
  <c r="AM36" i="85"/>
  <c r="BB36" i="85"/>
  <c r="AL36" i="85"/>
  <c r="BA36" i="85"/>
  <c r="AK36" i="85"/>
  <c r="AZ36" i="85"/>
  <c r="AJ36" i="85"/>
  <c r="BK36" i="85"/>
  <c r="AU36" i="85"/>
  <c r="CY36" i="84"/>
  <c r="CQ36" i="84"/>
  <c r="CI36" i="84"/>
  <c r="CX36" i="84"/>
  <c r="CP36" i="84"/>
  <c r="CH36" i="84"/>
  <c r="DB36" i="84"/>
  <c r="CR36" i="84"/>
  <c r="CF36" i="84"/>
  <c r="CZ36" i="84"/>
  <c r="CN36" i="84"/>
  <c r="CD36" i="84"/>
  <c r="CW36" i="84"/>
  <c r="CM36" i="84"/>
  <c r="CB36" i="84"/>
  <c r="CV36" i="84"/>
  <c r="CL36" i="84"/>
  <c r="CA36" i="84"/>
  <c r="DD36" i="84"/>
  <c r="CJ36" i="84"/>
  <c r="DC36" i="84"/>
  <c r="CG36" i="84"/>
  <c r="DA36" i="84"/>
  <c r="CE36" i="84"/>
  <c r="CU36" i="84"/>
  <c r="CT36" i="84"/>
  <c r="CS36" i="84"/>
  <c r="CO36" i="84"/>
  <c r="CK36" i="84"/>
  <c r="BG36" i="84"/>
  <c r="AY36" i="84"/>
  <c r="AQ36" i="84"/>
  <c r="BF36" i="84"/>
  <c r="AX36" i="84"/>
  <c r="AP36" i="84"/>
  <c r="BM36" i="84"/>
  <c r="BE36" i="84"/>
  <c r="AW36" i="84"/>
  <c r="AO36" i="84"/>
  <c r="BL36" i="84"/>
  <c r="BD36" i="84"/>
  <c r="AV36" i="84"/>
  <c r="AN36" i="84"/>
  <c r="BK36" i="84"/>
  <c r="BC36" i="84"/>
  <c r="AU36" i="84"/>
  <c r="AM36" i="84"/>
  <c r="BJ36" i="84"/>
  <c r="BB36" i="84"/>
  <c r="AT36" i="84"/>
  <c r="AK36" i="84"/>
  <c r="BI36" i="84"/>
  <c r="BA36" i="84"/>
  <c r="AS36" i="84"/>
  <c r="AJ36" i="84"/>
  <c r="BH36" i="84"/>
  <c r="AZ36" i="84"/>
  <c r="AR36" i="84"/>
  <c r="AL36" i="84"/>
  <c r="AR36" i="83"/>
  <c r="AZ36" i="83"/>
  <c r="BH36" i="83"/>
  <c r="CF36" i="83"/>
  <c r="CN36" i="83"/>
  <c r="CW36" i="83"/>
  <c r="CH36" i="83"/>
  <c r="CB36" i="83"/>
  <c r="AK36" i="83"/>
  <c r="AS36" i="83"/>
  <c r="BA36" i="83"/>
  <c r="BI36" i="83"/>
  <c r="CG36" i="83"/>
  <c r="CO36" i="83"/>
  <c r="CX36" i="83"/>
  <c r="CQ36" i="83"/>
  <c r="DA36" i="83"/>
  <c r="AL36" i="83"/>
  <c r="AT36" i="83"/>
  <c r="BB36" i="83"/>
  <c r="BJ36" i="83"/>
  <c r="CY36" i="83"/>
  <c r="CJ36" i="83"/>
  <c r="AM36" i="83"/>
  <c r="AU36" i="83"/>
  <c r="BC36" i="83"/>
  <c r="BK36" i="83"/>
  <c r="CI36" i="83"/>
  <c r="CR36" i="83"/>
  <c r="CZ36" i="83"/>
  <c r="CS36" i="83"/>
  <c r="AN36" i="83"/>
  <c r="AV36" i="83"/>
  <c r="BD36" i="83"/>
  <c r="BL36" i="83"/>
  <c r="AP36" i="83"/>
  <c r="BM36" i="83"/>
  <c r="CE36" i="83"/>
  <c r="DC36" i="83"/>
  <c r="AQ36" i="83"/>
  <c r="CK36" i="83"/>
  <c r="DD36" i="83"/>
  <c r="AW36" i="83"/>
  <c r="CL36" i="83"/>
  <c r="AX36" i="83"/>
  <c r="CM36" i="83"/>
  <c r="AY36" i="83"/>
  <c r="CT36" i="83"/>
  <c r="CU36" i="83"/>
  <c r="BE36" i="83"/>
  <c r="BF36" i="83"/>
  <c r="CC36" i="83"/>
  <c r="CV36" i="83"/>
  <c r="AO36" i="83"/>
  <c r="BG36" i="83"/>
  <c r="CD36" i="83"/>
  <c r="DB36" i="83"/>
  <c r="AJ36" i="83"/>
  <c r="CP36" i="83"/>
  <c r="CA36" i="83"/>
  <c r="CY37" i="86"/>
  <c r="CQ37" i="86"/>
  <c r="CI37" i="86"/>
  <c r="CA37" i="86"/>
  <c r="CX37" i="86"/>
  <c r="CP37" i="86"/>
  <c r="CH37" i="86"/>
  <c r="CW37" i="86"/>
  <c r="CO37" i="86"/>
  <c r="CG37" i="86"/>
  <c r="DC37" i="86"/>
  <c r="CU37" i="86"/>
  <c r="CM37" i="86"/>
  <c r="CE37" i="86"/>
  <c r="DB37" i="86"/>
  <c r="CT37" i="86"/>
  <c r="CL37" i="86"/>
  <c r="CD37" i="86"/>
  <c r="DA37" i="86"/>
  <c r="CZ37" i="86"/>
  <c r="CR37" i="86"/>
  <c r="CJ37" i="86"/>
  <c r="CB37" i="86"/>
  <c r="CK37" i="86"/>
  <c r="CF37" i="86"/>
  <c r="CC37" i="86"/>
  <c r="DD37" i="86"/>
  <c r="CV37" i="86"/>
  <c r="CS37" i="86"/>
  <c r="CN37" i="86"/>
  <c r="BM37" i="86"/>
  <c r="BE37" i="86"/>
  <c r="AW37" i="86"/>
  <c r="AO37" i="86"/>
  <c r="BD37" i="86"/>
  <c r="AU37" i="86"/>
  <c r="AL37" i="86"/>
  <c r="BL37" i="86"/>
  <c r="BC37" i="86"/>
  <c r="AT37" i="86"/>
  <c r="AK37" i="86"/>
  <c r="BK37" i="86"/>
  <c r="BB37" i="86"/>
  <c r="AS37" i="86"/>
  <c r="AJ37" i="86"/>
  <c r="BJ37" i="86"/>
  <c r="BA37" i="86"/>
  <c r="AR37" i="86"/>
  <c r="BI37" i="86"/>
  <c r="AZ37" i="86"/>
  <c r="AQ37" i="86"/>
  <c r="BH37" i="86"/>
  <c r="AY37" i="86"/>
  <c r="AP37" i="86"/>
  <c r="BG37" i="86"/>
  <c r="AX37" i="86"/>
  <c r="AN37" i="86"/>
  <c r="BF37" i="86"/>
  <c r="AV37" i="86"/>
  <c r="AM37" i="86"/>
  <c r="B22" i="95"/>
  <c r="BF33" i="43"/>
  <c r="P32" i="43"/>
  <c r="A22" i="47" s="1"/>
  <c r="AR32" i="43"/>
  <c r="A22" i="48" s="1"/>
  <c r="AD32" i="43"/>
  <c r="A22" i="49" s="1"/>
  <c r="B33" i="43"/>
  <c r="A23" i="46" s="1"/>
  <c r="DE35" i="83"/>
  <c r="X24" i="23"/>
  <c r="AD24" i="24" s="1"/>
  <c r="T24" i="23"/>
  <c r="Y24" i="24" s="1"/>
  <c r="P23" i="23"/>
  <c r="T23" i="24" s="1"/>
  <c r="K36" i="92"/>
  <c r="BN36" i="86"/>
  <c r="K36" i="86" s="1"/>
  <c r="BN35" i="83"/>
  <c r="BN35" i="88"/>
  <c r="K35" i="88" s="1"/>
  <c r="BN36" i="91"/>
  <c r="K36" i="91" s="1"/>
  <c r="BN35" i="89"/>
  <c r="K35" i="89" s="1"/>
  <c r="BN36" i="87"/>
  <c r="K36" i="87" s="1"/>
  <c r="AV23" i="23"/>
  <c r="AD23" i="25"/>
  <c r="AS25" i="23"/>
  <c r="Z25" i="25"/>
  <c r="B37" i="93"/>
  <c r="A38" i="93"/>
  <c r="AT24" i="23"/>
  <c r="D36" i="93"/>
  <c r="AA24" i="25"/>
  <c r="U26" i="25"/>
  <c r="AO26" i="23"/>
  <c r="P26" i="25"/>
  <c r="AK26" i="23"/>
  <c r="F25" i="25"/>
  <c r="AC25" i="23"/>
  <c r="U26" i="23"/>
  <c r="Z26" i="24"/>
  <c r="Q26" i="23"/>
  <c r="U26" i="24"/>
  <c r="D36" i="85"/>
  <c r="Q24" i="24"/>
  <c r="N24" i="23"/>
  <c r="P25" i="24"/>
  <c r="M25" i="23"/>
  <c r="A38" i="85"/>
  <c r="B37" i="85"/>
  <c r="I25" i="23"/>
  <c r="K25" i="24"/>
  <c r="F25" i="24"/>
  <c r="E25" i="23"/>
  <c r="V25" i="24"/>
  <c r="R25" i="23"/>
  <c r="L24" i="24"/>
  <c r="J24" i="23"/>
  <c r="G24" i="24"/>
  <c r="F24" i="23"/>
  <c r="V25" i="23"/>
  <c r="AA25" i="24"/>
  <c r="AD24" i="23"/>
  <c r="G24" i="25"/>
  <c r="Q25" i="25"/>
  <c r="AL25" i="23"/>
  <c r="Y24" i="25"/>
  <c r="AR24" i="23"/>
  <c r="V25" i="25"/>
  <c r="AP25" i="23"/>
  <c r="AF23" i="23"/>
  <c r="J23" i="25"/>
  <c r="T24" i="25"/>
  <c r="AN24" i="23"/>
  <c r="K26" i="25"/>
  <c r="AG26" i="23"/>
  <c r="AH25" i="23"/>
  <c r="L25" i="25"/>
  <c r="O24" i="25"/>
  <c r="AJ24" i="23"/>
  <c r="Y25" i="23"/>
  <c r="A25" i="25"/>
  <c r="Z24" i="23"/>
  <c r="B24" i="25"/>
  <c r="E23" i="25"/>
  <c r="AB23" i="23"/>
  <c r="C15" i="82"/>
  <c r="B7" i="94" s="1"/>
  <c r="A7" i="94"/>
  <c r="D37" i="92"/>
  <c r="B38" i="92"/>
  <c r="A39" i="92"/>
  <c r="B38" i="91"/>
  <c r="A39" i="91"/>
  <c r="D37" i="91"/>
  <c r="A39" i="90"/>
  <c r="B38" i="90"/>
  <c r="D37" i="90"/>
  <c r="A38" i="89"/>
  <c r="B37" i="89"/>
  <c r="D36" i="89"/>
  <c r="B37" i="88"/>
  <c r="A38" i="88"/>
  <c r="D36" i="88"/>
  <c r="BO36" i="87"/>
  <c r="B38" i="87"/>
  <c r="A39" i="87"/>
  <c r="D37" i="87"/>
  <c r="B38" i="86"/>
  <c r="A39" i="86"/>
  <c r="D37" i="86"/>
  <c r="D36" i="84"/>
  <c r="L24" i="23" s="1"/>
  <c r="O24" i="24" s="1"/>
  <c r="B37" i="84"/>
  <c r="A38" i="84"/>
  <c r="D36" i="83"/>
  <c r="H24" i="23" s="1"/>
  <c r="J24" i="24" s="1"/>
  <c r="A38" i="83"/>
  <c r="B37" i="83"/>
  <c r="CX38" i="90" l="1"/>
  <c r="CP38" i="90"/>
  <c r="CH38" i="90"/>
  <c r="CW38" i="90"/>
  <c r="CO38" i="90"/>
  <c r="CG38" i="90"/>
  <c r="DD38" i="90"/>
  <c r="CV38" i="90"/>
  <c r="CN38" i="90"/>
  <c r="CF38" i="90"/>
  <c r="DC38" i="90"/>
  <c r="CU38" i="90"/>
  <c r="CM38" i="90"/>
  <c r="CE38" i="90"/>
  <c r="DB38" i="90"/>
  <c r="CT38" i="90"/>
  <c r="CL38" i="90"/>
  <c r="CD38" i="90"/>
  <c r="DA38" i="90"/>
  <c r="CS38" i="90"/>
  <c r="CK38" i="90"/>
  <c r="CC38" i="90"/>
  <c r="CQ38" i="90"/>
  <c r="CJ38" i="90"/>
  <c r="CI38" i="90"/>
  <c r="CB38" i="90"/>
  <c r="CA38" i="90"/>
  <c r="CZ38" i="90"/>
  <c r="CY38" i="90"/>
  <c r="CR38" i="90"/>
  <c r="BI38" i="90"/>
  <c r="BA38" i="90"/>
  <c r="AS38" i="90"/>
  <c r="AK38" i="90"/>
  <c r="AT38" i="90"/>
  <c r="BH38" i="90"/>
  <c r="AZ38" i="90"/>
  <c r="AR38" i="90"/>
  <c r="AJ38" i="90"/>
  <c r="BG38" i="90"/>
  <c r="AY38" i="90"/>
  <c r="AQ38" i="90"/>
  <c r="BF38" i="90"/>
  <c r="AX38" i="90"/>
  <c r="AP38" i="90"/>
  <c r="AL38" i="90"/>
  <c r="BM38" i="90"/>
  <c r="BE38" i="90"/>
  <c r="AW38" i="90"/>
  <c r="AO38" i="90"/>
  <c r="BB38" i="90"/>
  <c r="BL38" i="90"/>
  <c r="BD38" i="90"/>
  <c r="AV38" i="90"/>
  <c r="AN38" i="90"/>
  <c r="BK38" i="90"/>
  <c r="BC38" i="90"/>
  <c r="AU38" i="90"/>
  <c r="AM38" i="90"/>
  <c r="BJ38" i="90"/>
  <c r="BN37" i="92"/>
  <c r="CG37" i="88"/>
  <c r="CO37" i="88"/>
  <c r="CX37" i="88"/>
  <c r="CH37" i="88"/>
  <c r="CQ37" i="88"/>
  <c r="CY37" i="88"/>
  <c r="CI37" i="88"/>
  <c r="CR37" i="88"/>
  <c r="CZ37" i="88"/>
  <c r="CB37" i="88"/>
  <c r="CJ37" i="88"/>
  <c r="CS37" i="88"/>
  <c r="DA37" i="88"/>
  <c r="CC37" i="88"/>
  <c r="CK37" i="88"/>
  <c r="CT37" i="88"/>
  <c r="CM37" i="88"/>
  <c r="CN37" i="88"/>
  <c r="CU37" i="88"/>
  <c r="CV37" i="88"/>
  <c r="CD37" i="88"/>
  <c r="CW37" i="88"/>
  <c r="CE37" i="88"/>
  <c r="DB37" i="88"/>
  <c r="CF37" i="88"/>
  <c r="DC37" i="88"/>
  <c r="CL37" i="88"/>
  <c r="DD37" i="88"/>
  <c r="AN37" i="88"/>
  <c r="AV37" i="88"/>
  <c r="BD37" i="88"/>
  <c r="BL37" i="88"/>
  <c r="AO37" i="88"/>
  <c r="AW37" i="88"/>
  <c r="BE37" i="88"/>
  <c r="BM37" i="88"/>
  <c r="AP37" i="88"/>
  <c r="AX37" i="88"/>
  <c r="BF37" i="88"/>
  <c r="AQ37" i="88"/>
  <c r="AY37" i="88"/>
  <c r="BG37" i="88"/>
  <c r="AR37" i="88"/>
  <c r="AZ37" i="88"/>
  <c r="BH37" i="88"/>
  <c r="AK37" i="88"/>
  <c r="AS37" i="88"/>
  <c r="BA37" i="88"/>
  <c r="BI37" i="88"/>
  <c r="AL37" i="88"/>
  <c r="AT37" i="88"/>
  <c r="BB37" i="88"/>
  <c r="BJ37" i="88"/>
  <c r="BK37" i="88"/>
  <c r="AU37" i="88"/>
  <c r="BC37" i="88"/>
  <c r="AM37" i="88"/>
  <c r="AJ37" i="88"/>
  <c r="CP37" i="88"/>
  <c r="CA37" i="88"/>
  <c r="CW37" i="93"/>
  <c r="CO37" i="93"/>
  <c r="CG37" i="93"/>
  <c r="DD37" i="93"/>
  <c r="CV37" i="93"/>
  <c r="CN37" i="93"/>
  <c r="CF37" i="93"/>
  <c r="DC37" i="93"/>
  <c r="CU37" i="93"/>
  <c r="CM37" i="93"/>
  <c r="CE37" i="93"/>
  <c r="DB37" i="93"/>
  <c r="CT37" i="93"/>
  <c r="CL37" i="93"/>
  <c r="CD37" i="93"/>
  <c r="DA37" i="93"/>
  <c r="CS37" i="93"/>
  <c r="CK37" i="93"/>
  <c r="CC37" i="93"/>
  <c r="CJ37" i="93"/>
  <c r="CI37" i="93"/>
  <c r="CZ37" i="93"/>
  <c r="CH37" i="93"/>
  <c r="CY37" i="93"/>
  <c r="CB37" i="93"/>
  <c r="CX37" i="93"/>
  <c r="CA37" i="93"/>
  <c r="CR37" i="93"/>
  <c r="CQ37" i="93"/>
  <c r="CP37" i="93"/>
  <c r="BF37" i="93"/>
  <c r="AX37" i="93"/>
  <c r="AP37" i="93"/>
  <c r="BM37" i="93"/>
  <c r="BE37" i="93"/>
  <c r="AW37" i="93"/>
  <c r="AO37" i="93"/>
  <c r="BL37" i="93"/>
  <c r="BD37" i="93"/>
  <c r="AV37" i="93"/>
  <c r="AN37" i="93"/>
  <c r="BJ37" i="93"/>
  <c r="BB37" i="93"/>
  <c r="AT37" i="93"/>
  <c r="AL37" i="93"/>
  <c r="BH37" i="93"/>
  <c r="AZ37" i="93"/>
  <c r="AR37" i="93"/>
  <c r="AJ37" i="93"/>
  <c r="BG37" i="93"/>
  <c r="AY37" i="93"/>
  <c r="AQ37" i="93"/>
  <c r="BC37" i="93"/>
  <c r="BA37" i="93"/>
  <c r="AU37" i="93"/>
  <c r="AS37" i="93"/>
  <c r="AM37" i="93"/>
  <c r="AK37" i="93"/>
  <c r="BK37" i="93"/>
  <c r="BI37" i="93"/>
  <c r="DD38" i="92"/>
  <c r="CV38" i="92"/>
  <c r="CN38" i="92"/>
  <c r="CE38" i="92"/>
  <c r="DB38" i="92"/>
  <c r="CT38" i="92"/>
  <c r="CL38" i="92"/>
  <c r="CC38" i="92"/>
  <c r="CY38" i="92"/>
  <c r="CQ38" i="92"/>
  <c r="CI38" i="92"/>
  <c r="CS38" i="92"/>
  <c r="CF38" i="92"/>
  <c r="CR38" i="92"/>
  <c r="CD38" i="92"/>
  <c r="DC38" i="92"/>
  <c r="CP38" i="92"/>
  <c r="CB38" i="92"/>
  <c r="DA38" i="92"/>
  <c r="CO38" i="92"/>
  <c r="CA38" i="92"/>
  <c r="CZ38" i="92"/>
  <c r="CM38" i="92"/>
  <c r="CX38" i="92"/>
  <c r="CK38" i="92"/>
  <c r="CW38" i="92"/>
  <c r="CJ38" i="92"/>
  <c r="CU38" i="92"/>
  <c r="CG38" i="92"/>
  <c r="BL38" i="92"/>
  <c r="BD38" i="92"/>
  <c r="AV38" i="92"/>
  <c r="AM38" i="92"/>
  <c r="BK38" i="92"/>
  <c r="BC38" i="92"/>
  <c r="AU38" i="92"/>
  <c r="AL38" i="92"/>
  <c r="BJ38" i="92"/>
  <c r="BB38" i="92"/>
  <c r="AT38" i="92"/>
  <c r="AK38" i="92"/>
  <c r="BI38" i="92"/>
  <c r="BA38" i="92"/>
  <c r="AS38" i="92"/>
  <c r="AJ38" i="92"/>
  <c r="BH38" i="92"/>
  <c r="AZ38" i="92"/>
  <c r="AR38" i="92"/>
  <c r="BG38" i="92"/>
  <c r="AY38" i="92"/>
  <c r="AP38" i="92"/>
  <c r="BF38" i="92"/>
  <c r="AX38" i="92"/>
  <c r="AO38" i="92"/>
  <c r="BM38" i="92"/>
  <c r="BE38" i="92"/>
  <c r="AW38" i="92"/>
  <c r="AN38" i="92"/>
  <c r="CH38" i="92"/>
  <c r="AQ38" i="92"/>
  <c r="BI38" i="91"/>
  <c r="BA38" i="91"/>
  <c r="AS38" i="91"/>
  <c r="AK38" i="91"/>
  <c r="BH38" i="91"/>
  <c r="AZ38" i="91"/>
  <c r="AR38" i="91"/>
  <c r="AJ38" i="91"/>
  <c r="BG38" i="91"/>
  <c r="AY38" i="91"/>
  <c r="AQ38" i="91"/>
  <c r="BF38" i="91"/>
  <c r="AX38" i="91"/>
  <c r="AP38" i="91"/>
  <c r="BM38" i="91"/>
  <c r="BE38" i="91"/>
  <c r="AW38" i="91"/>
  <c r="AO38" i="91"/>
  <c r="BL38" i="91"/>
  <c r="BD38" i="91"/>
  <c r="AV38" i="91"/>
  <c r="AN38" i="91"/>
  <c r="BK38" i="91"/>
  <c r="BC38" i="91"/>
  <c r="AU38" i="91"/>
  <c r="AM38" i="91"/>
  <c r="BJ38" i="91"/>
  <c r="BB38" i="91"/>
  <c r="AT38" i="91"/>
  <c r="AL38" i="91"/>
  <c r="DA38" i="91"/>
  <c r="CS38" i="91"/>
  <c r="CK38" i="91"/>
  <c r="CC38" i="91"/>
  <c r="CZ38" i="91"/>
  <c r="CR38" i="91"/>
  <c r="CJ38" i="91"/>
  <c r="CB38" i="91"/>
  <c r="CY38" i="91"/>
  <c r="CQ38" i="91"/>
  <c r="CI38" i="91"/>
  <c r="CA38" i="91"/>
  <c r="CX38" i="91"/>
  <c r="CP38" i="91"/>
  <c r="CH38" i="91"/>
  <c r="CW38" i="91"/>
  <c r="CO38" i="91"/>
  <c r="CG38" i="91"/>
  <c r="CN38" i="91"/>
  <c r="CM38" i="91"/>
  <c r="DC38" i="91"/>
  <c r="CF38" i="91"/>
  <c r="DB38" i="91"/>
  <c r="CE38" i="91"/>
  <c r="CV38" i="91"/>
  <c r="CD38" i="91"/>
  <c r="CU38" i="91"/>
  <c r="CT38" i="91"/>
  <c r="DD38" i="91"/>
  <c r="CL38" i="91"/>
  <c r="CX37" i="89"/>
  <c r="CP37" i="89"/>
  <c r="CH37" i="89"/>
  <c r="CW37" i="89"/>
  <c r="CO37" i="89"/>
  <c r="CG37" i="89"/>
  <c r="DD37" i="89"/>
  <c r="CV37" i="89"/>
  <c r="CN37" i="89"/>
  <c r="CF37" i="89"/>
  <c r="DC37" i="89"/>
  <c r="CU37" i="89"/>
  <c r="CM37" i="89"/>
  <c r="CE37" i="89"/>
  <c r="DA37" i="89"/>
  <c r="CS37" i="89"/>
  <c r="CK37" i="89"/>
  <c r="CC37" i="89"/>
  <c r="CZ37" i="89"/>
  <c r="CR37" i="89"/>
  <c r="CJ37" i="89"/>
  <c r="CB37" i="89"/>
  <c r="CY37" i="89"/>
  <c r="CQ37" i="89"/>
  <c r="CI37" i="89"/>
  <c r="DB37" i="89"/>
  <c r="CT37" i="89"/>
  <c r="CL37" i="89"/>
  <c r="CD37" i="89"/>
  <c r="BK37" i="89"/>
  <c r="BC37" i="89"/>
  <c r="AU37" i="89"/>
  <c r="AM37" i="89"/>
  <c r="BJ37" i="89"/>
  <c r="BI37" i="89"/>
  <c r="BA37" i="89"/>
  <c r="AS37" i="89"/>
  <c r="AK37" i="89"/>
  <c r="BG37" i="89"/>
  <c r="AY37" i="89"/>
  <c r="AQ37" i="89"/>
  <c r="BM37" i="89"/>
  <c r="BL37" i="89"/>
  <c r="BD37" i="89"/>
  <c r="AV37" i="89"/>
  <c r="AN37" i="89"/>
  <c r="BE37" i="89"/>
  <c r="AO37" i="89"/>
  <c r="BB37" i="89"/>
  <c r="AL37" i="89"/>
  <c r="AZ37" i="89"/>
  <c r="AX37" i="89"/>
  <c r="AW37" i="89"/>
  <c r="AT37" i="89"/>
  <c r="BH37" i="89"/>
  <c r="AR37" i="89"/>
  <c r="BF37" i="89"/>
  <c r="AP37" i="89"/>
  <c r="AJ37" i="89"/>
  <c r="CA37" i="89"/>
  <c r="BO37" i="92"/>
  <c r="CW38" i="87"/>
  <c r="CO38" i="87"/>
  <c r="CG38" i="87"/>
  <c r="DD38" i="87"/>
  <c r="CV38" i="87"/>
  <c r="CN38" i="87"/>
  <c r="CF38" i="87"/>
  <c r="DC38" i="87"/>
  <c r="CU38" i="87"/>
  <c r="CM38" i="87"/>
  <c r="CE38" i="87"/>
  <c r="DB38" i="87"/>
  <c r="CT38" i="87"/>
  <c r="CL38" i="87"/>
  <c r="CD38" i="87"/>
  <c r="DA38" i="87"/>
  <c r="CS38" i="87"/>
  <c r="CK38" i="87"/>
  <c r="CC38" i="87"/>
  <c r="CZ38" i="87"/>
  <c r="CR38" i="87"/>
  <c r="CJ38" i="87"/>
  <c r="CB38" i="87"/>
  <c r="CY38" i="87"/>
  <c r="CQ38" i="87"/>
  <c r="CI38" i="87"/>
  <c r="CA38" i="87"/>
  <c r="CX38" i="87"/>
  <c r="CP38" i="87"/>
  <c r="CH38" i="87"/>
  <c r="BF38" i="87"/>
  <c r="AX38" i="87"/>
  <c r="AP38" i="87"/>
  <c r="BM38" i="87"/>
  <c r="BE38" i="87"/>
  <c r="AW38" i="87"/>
  <c r="AO38" i="87"/>
  <c r="BL38" i="87"/>
  <c r="BD38" i="87"/>
  <c r="AV38" i="87"/>
  <c r="AN38" i="87"/>
  <c r="BK38" i="87"/>
  <c r="BC38" i="87"/>
  <c r="AU38" i="87"/>
  <c r="AM38" i="87"/>
  <c r="BJ38" i="87"/>
  <c r="BB38" i="87"/>
  <c r="AT38" i="87"/>
  <c r="AL38" i="87"/>
  <c r="BI38" i="87"/>
  <c r="BA38" i="87"/>
  <c r="AS38" i="87"/>
  <c r="AK38" i="87"/>
  <c r="BH38" i="87"/>
  <c r="AZ38" i="87"/>
  <c r="AR38" i="87"/>
  <c r="AJ38" i="87"/>
  <c r="BG38" i="87"/>
  <c r="AY38" i="87"/>
  <c r="AQ38" i="87"/>
  <c r="CW37" i="85"/>
  <c r="CO37" i="85"/>
  <c r="CG37" i="85"/>
  <c r="DD37" i="85"/>
  <c r="CV37" i="85"/>
  <c r="CN37" i="85"/>
  <c r="CF37" i="85"/>
  <c r="DC37" i="85"/>
  <c r="CU37" i="85"/>
  <c r="CM37" i="85"/>
  <c r="CE37" i="85"/>
  <c r="DB37" i="85"/>
  <c r="CT37" i="85"/>
  <c r="CL37" i="85"/>
  <c r="CD37" i="85"/>
  <c r="DA37" i="85"/>
  <c r="CS37" i="85"/>
  <c r="CK37" i="85"/>
  <c r="CC37" i="85"/>
  <c r="CZ37" i="85"/>
  <c r="CR37" i="85"/>
  <c r="CJ37" i="85"/>
  <c r="CB37" i="85"/>
  <c r="CX37" i="85"/>
  <c r="CQ37" i="85"/>
  <c r="CP37" i="85"/>
  <c r="CI37" i="85"/>
  <c r="CH37" i="85"/>
  <c r="CA37" i="85"/>
  <c r="CY37" i="85"/>
  <c r="BI37" i="85"/>
  <c r="BA37" i="85"/>
  <c r="AS37" i="85"/>
  <c r="AK37" i="85"/>
  <c r="BH37" i="85"/>
  <c r="AZ37" i="85"/>
  <c r="AR37" i="85"/>
  <c r="AJ37" i="85"/>
  <c r="BG37" i="85"/>
  <c r="AY37" i="85"/>
  <c r="AQ37" i="85"/>
  <c r="BF37" i="85"/>
  <c r="AX37" i="85"/>
  <c r="AP37" i="85"/>
  <c r="BM37" i="85"/>
  <c r="BE37" i="85"/>
  <c r="AW37" i="85"/>
  <c r="AO37" i="85"/>
  <c r="BL37" i="85"/>
  <c r="BD37" i="85"/>
  <c r="AV37" i="85"/>
  <c r="AN37" i="85"/>
  <c r="BJ37" i="85"/>
  <c r="BC37" i="85"/>
  <c r="BB37" i="85"/>
  <c r="AU37" i="85"/>
  <c r="AT37" i="85"/>
  <c r="AM37" i="85"/>
  <c r="AL37" i="85"/>
  <c r="BK37" i="85"/>
  <c r="DB37" i="84"/>
  <c r="CT37" i="84"/>
  <c r="CL37" i="84"/>
  <c r="CC37" i="84"/>
  <c r="DA37" i="84"/>
  <c r="CS37" i="84"/>
  <c r="CK37" i="84"/>
  <c r="CB37" i="84"/>
  <c r="CU37" i="84"/>
  <c r="CI37" i="84"/>
  <c r="DC37" i="84"/>
  <c r="CQ37" i="84"/>
  <c r="CG37" i="84"/>
  <c r="CZ37" i="84"/>
  <c r="CP37" i="84"/>
  <c r="CF37" i="84"/>
  <c r="CY37" i="84"/>
  <c r="CO37" i="84"/>
  <c r="CE37" i="84"/>
  <c r="CW37" i="84"/>
  <c r="CV37" i="84"/>
  <c r="CR37" i="84"/>
  <c r="CN37" i="84"/>
  <c r="CM37" i="84"/>
  <c r="CJ37" i="84"/>
  <c r="CH37" i="84"/>
  <c r="CA37" i="84"/>
  <c r="DD37" i="84"/>
  <c r="CX37" i="84"/>
  <c r="BL37" i="84"/>
  <c r="BD37" i="84"/>
  <c r="BK37" i="84"/>
  <c r="BB37" i="84"/>
  <c r="AT37" i="84"/>
  <c r="AK37" i="84"/>
  <c r="BJ37" i="84"/>
  <c r="BA37" i="84"/>
  <c r="AS37" i="84"/>
  <c r="AJ37" i="84"/>
  <c r="BI37" i="84"/>
  <c r="AZ37" i="84"/>
  <c r="AR37" i="84"/>
  <c r="BH37" i="84"/>
  <c r="AY37" i="84"/>
  <c r="AQ37" i="84"/>
  <c r="BG37" i="84"/>
  <c r="AX37" i="84"/>
  <c r="AP37" i="84"/>
  <c r="BF37" i="84"/>
  <c r="AW37" i="84"/>
  <c r="AO37" i="84"/>
  <c r="BE37" i="84"/>
  <c r="AV37" i="84"/>
  <c r="AN37" i="84"/>
  <c r="BM37" i="84"/>
  <c r="BC37" i="84"/>
  <c r="AU37" i="84"/>
  <c r="AL37" i="84"/>
  <c r="CD37" i="84"/>
  <c r="AM37" i="84"/>
  <c r="AM37" i="83"/>
  <c r="AU37" i="83"/>
  <c r="BD37" i="83"/>
  <c r="BL37" i="83"/>
  <c r="CA37" i="83"/>
  <c r="CJ37" i="83"/>
  <c r="CS37" i="83"/>
  <c r="DA37" i="83"/>
  <c r="CD37" i="83"/>
  <c r="CU37" i="83"/>
  <c r="CN37" i="83"/>
  <c r="AN37" i="83"/>
  <c r="AV37" i="83"/>
  <c r="BE37" i="83"/>
  <c r="BM37" i="83"/>
  <c r="CC37" i="83"/>
  <c r="CK37" i="83"/>
  <c r="CT37" i="83"/>
  <c r="DB37" i="83"/>
  <c r="CL37" i="83"/>
  <c r="DC37" i="83"/>
  <c r="AO37" i="83"/>
  <c r="AW37" i="83"/>
  <c r="BF37" i="83"/>
  <c r="AP37" i="83"/>
  <c r="AX37" i="83"/>
  <c r="BG37" i="83"/>
  <c r="CE37" i="83"/>
  <c r="CM37" i="83"/>
  <c r="CV37" i="83"/>
  <c r="DD37" i="83"/>
  <c r="CW37" i="83"/>
  <c r="AQ37" i="83"/>
  <c r="AY37" i="83"/>
  <c r="BH37" i="83"/>
  <c r="CF37" i="83"/>
  <c r="BC37" i="83"/>
  <c r="CX37" i="83"/>
  <c r="CY37" i="83"/>
  <c r="AJ37" i="83"/>
  <c r="BI37" i="83"/>
  <c r="AL37" i="83"/>
  <c r="BJ37" i="83"/>
  <c r="CG37" i="83"/>
  <c r="CZ37" i="83"/>
  <c r="AR37" i="83"/>
  <c r="BK37" i="83"/>
  <c r="CH37" i="83"/>
  <c r="CP37" i="83"/>
  <c r="AS37" i="83"/>
  <c r="CI37" i="83"/>
  <c r="AT37" i="83"/>
  <c r="CO37" i="83"/>
  <c r="BA37" i="83"/>
  <c r="BB37" i="83"/>
  <c r="CR37" i="83"/>
  <c r="CQ37" i="83"/>
  <c r="AZ37" i="83"/>
  <c r="DA38" i="86"/>
  <c r="CS38" i="86"/>
  <c r="CK38" i="86"/>
  <c r="CC38" i="86"/>
  <c r="CZ38" i="86"/>
  <c r="CR38" i="86"/>
  <c r="CJ38" i="86"/>
  <c r="CB38" i="86"/>
  <c r="CY38" i="86"/>
  <c r="CQ38" i="86"/>
  <c r="CI38" i="86"/>
  <c r="CA38" i="86"/>
  <c r="CX38" i="86"/>
  <c r="CP38" i="86"/>
  <c r="CW38" i="86"/>
  <c r="CO38" i="86"/>
  <c r="CG38" i="86"/>
  <c r="DD38" i="86"/>
  <c r="CV38" i="86"/>
  <c r="CN38" i="86"/>
  <c r="CF38" i="86"/>
  <c r="DC38" i="86"/>
  <c r="CU38" i="86"/>
  <c r="CM38" i="86"/>
  <c r="CE38" i="86"/>
  <c r="DB38" i="86"/>
  <c r="CT38" i="86"/>
  <c r="CL38" i="86"/>
  <c r="CD38" i="86"/>
  <c r="CH38" i="86"/>
  <c r="BG38" i="86"/>
  <c r="AY38" i="86"/>
  <c r="AQ38" i="86"/>
  <c r="BK38" i="86"/>
  <c r="BB38" i="86"/>
  <c r="AS38" i="86"/>
  <c r="AJ38" i="86"/>
  <c r="BJ38" i="86"/>
  <c r="BA38" i="86"/>
  <c r="AR38" i="86"/>
  <c r="BI38" i="86"/>
  <c r="AZ38" i="86"/>
  <c r="AP38" i="86"/>
  <c r="BH38" i="86"/>
  <c r="AX38" i="86"/>
  <c r="AO38" i="86"/>
  <c r="BF38" i="86"/>
  <c r="AW38" i="86"/>
  <c r="AN38" i="86"/>
  <c r="BE38" i="86"/>
  <c r="AV38" i="86"/>
  <c r="AM38" i="86"/>
  <c r="BM38" i="86"/>
  <c r="BD38" i="86"/>
  <c r="AU38" i="86"/>
  <c r="AL38" i="86"/>
  <c r="BL38" i="86"/>
  <c r="BC38" i="86"/>
  <c r="AT38" i="86"/>
  <c r="AK38" i="86"/>
  <c r="A23" i="95"/>
  <c r="BG33" i="43"/>
  <c r="Q32" i="43"/>
  <c r="B22" i="47" s="1"/>
  <c r="AS32" i="43"/>
  <c r="B22" i="48" s="1"/>
  <c r="AE32" i="43"/>
  <c r="B22" i="49" s="1"/>
  <c r="C33" i="43"/>
  <c r="B23" i="46" s="1"/>
  <c r="DE36" i="92"/>
  <c r="L36" i="92" s="1"/>
  <c r="DE36" i="88"/>
  <c r="L36" i="88" s="1"/>
  <c r="X25" i="23"/>
  <c r="AD25" i="24" s="1"/>
  <c r="T25" i="23"/>
  <c r="Y25" i="24" s="1"/>
  <c r="P24" i="23"/>
  <c r="T24" i="24" s="1"/>
  <c r="BN36" i="83"/>
  <c r="BN36" i="88"/>
  <c r="K36" i="88" s="1"/>
  <c r="BN36" i="85"/>
  <c r="K36" i="85" s="1"/>
  <c r="BN37" i="91"/>
  <c r="K37" i="91" s="1"/>
  <c r="BN36" i="89"/>
  <c r="K36" i="89" s="1"/>
  <c r="D37" i="93"/>
  <c r="AT25" i="23"/>
  <c r="AA25" i="25"/>
  <c r="AV24" i="23"/>
  <c r="AD24" i="25"/>
  <c r="Z26" i="25"/>
  <c r="AS26" i="23"/>
  <c r="B38" i="93"/>
  <c r="A39" i="93"/>
  <c r="AO27" i="23"/>
  <c r="U27" i="25"/>
  <c r="AK27" i="23"/>
  <c r="P27" i="25"/>
  <c r="F26" i="25"/>
  <c r="AC26" i="23"/>
  <c r="U27" i="23"/>
  <c r="Z27" i="24"/>
  <c r="Q27" i="23"/>
  <c r="U27" i="24"/>
  <c r="D37" i="85"/>
  <c r="N25" i="23"/>
  <c r="Q25" i="24"/>
  <c r="M26" i="23"/>
  <c r="P26" i="24"/>
  <c r="B38" i="85"/>
  <c r="A39" i="85"/>
  <c r="K26" i="24"/>
  <c r="I26" i="23"/>
  <c r="E26" i="23"/>
  <c r="F26" i="24"/>
  <c r="R26" i="23"/>
  <c r="V26" i="24"/>
  <c r="L25" i="24"/>
  <c r="J25" i="23"/>
  <c r="F25" i="23"/>
  <c r="G25" i="24"/>
  <c r="Y25" i="25"/>
  <c r="AR25" i="23"/>
  <c r="T25" i="25"/>
  <c r="AN25" i="23"/>
  <c r="G25" i="25"/>
  <c r="AD25" i="23"/>
  <c r="AL26" i="23"/>
  <c r="Q26" i="25"/>
  <c r="V26" i="23"/>
  <c r="AA26" i="24"/>
  <c r="J24" i="25"/>
  <c r="AF24" i="23"/>
  <c r="V26" i="25"/>
  <c r="AP26" i="23"/>
  <c r="K27" i="25"/>
  <c r="AG27" i="23"/>
  <c r="AJ25" i="23"/>
  <c r="O25" i="25"/>
  <c r="L26" i="25"/>
  <c r="AH26" i="23"/>
  <c r="E24" i="25"/>
  <c r="AB24" i="23"/>
  <c r="Y26" i="23"/>
  <c r="A26" i="25"/>
  <c r="B25" i="25"/>
  <c r="Z25" i="23"/>
  <c r="B16" i="82"/>
  <c r="A40" i="92"/>
  <c r="B39" i="92"/>
  <c r="D38" i="92"/>
  <c r="B39" i="91"/>
  <c r="A40" i="91"/>
  <c r="D38" i="91"/>
  <c r="D38" i="90"/>
  <c r="B39" i="90"/>
  <c r="A40" i="90"/>
  <c r="D37" i="89"/>
  <c r="B38" i="89"/>
  <c r="A39" i="89"/>
  <c r="B38" i="88"/>
  <c r="A39" i="88"/>
  <c r="D37" i="88"/>
  <c r="B39" i="87"/>
  <c r="A40" i="87"/>
  <c r="D38" i="87"/>
  <c r="B39" i="86"/>
  <c r="A40" i="86"/>
  <c r="D38" i="86"/>
  <c r="A39" i="84"/>
  <c r="B38" i="84"/>
  <c r="D37" i="84"/>
  <c r="L25" i="23" s="1"/>
  <c r="O25" i="24" s="1"/>
  <c r="D37" i="83"/>
  <c r="H25" i="23" s="1"/>
  <c r="J25" i="24" s="1"/>
  <c r="A39" i="83"/>
  <c r="B38" i="83"/>
  <c r="H11" i="50"/>
  <c r="H30" i="50" s="1"/>
  <c r="F30" i="50"/>
  <c r="B14" i="1"/>
  <c r="CC38" i="88" l="1"/>
  <c r="CK38" i="88"/>
  <c r="CT38" i="88"/>
  <c r="DB38" i="88"/>
  <c r="CD38" i="88"/>
  <c r="CL38" i="88"/>
  <c r="CU38" i="88"/>
  <c r="DC38" i="88"/>
  <c r="CE38" i="88"/>
  <c r="CM38" i="88"/>
  <c r="CV38" i="88"/>
  <c r="DD38" i="88"/>
  <c r="CF38" i="88"/>
  <c r="CN38" i="88"/>
  <c r="CW38" i="88"/>
  <c r="CA38" i="88"/>
  <c r="CS38" i="88"/>
  <c r="CG38" i="88"/>
  <c r="CX38" i="88"/>
  <c r="CH38" i="88"/>
  <c r="CY38" i="88"/>
  <c r="CI38" i="88"/>
  <c r="CZ38" i="88"/>
  <c r="CJ38" i="88"/>
  <c r="DA38" i="88"/>
  <c r="CO38" i="88"/>
  <c r="CP38" i="88"/>
  <c r="CR38" i="88"/>
  <c r="AQ38" i="88"/>
  <c r="AY38" i="88"/>
  <c r="BH38" i="88"/>
  <c r="AR38" i="88"/>
  <c r="BA38" i="88"/>
  <c r="BI38" i="88"/>
  <c r="AJ38" i="88"/>
  <c r="AS38" i="88"/>
  <c r="BB38" i="88"/>
  <c r="BJ38" i="88"/>
  <c r="AL38" i="88"/>
  <c r="AT38" i="88"/>
  <c r="BC38" i="88"/>
  <c r="BK38" i="88"/>
  <c r="AM38" i="88"/>
  <c r="AU38" i="88"/>
  <c r="BD38" i="88"/>
  <c r="BL38" i="88"/>
  <c r="AN38" i="88"/>
  <c r="AO38" i="88"/>
  <c r="BM38" i="88"/>
  <c r="AP38" i="88"/>
  <c r="AV38" i="88"/>
  <c r="AX38" i="88"/>
  <c r="BF38" i="88"/>
  <c r="BG38" i="88"/>
  <c r="AW38" i="88"/>
  <c r="BE38" i="88"/>
  <c r="AZ38" i="88"/>
  <c r="CQ38" i="88"/>
  <c r="BO38" i="92"/>
  <c r="CY39" i="92"/>
  <c r="CQ39" i="92"/>
  <c r="CH39" i="92"/>
  <c r="CX39" i="92"/>
  <c r="CP39" i="92"/>
  <c r="CW39" i="92"/>
  <c r="CO39" i="92"/>
  <c r="CF39" i="92"/>
  <c r="DB39" i="92"/>
  <c r="CT39" i="92"/>
  <c r="CL39" i="92"/>
  <c r="CC39" i="92"/>
  <c r="DA39" i="92"/>
  <c r="CS39" i="92"/>
  <c r="CK39" i="92"/>
  <c r="CU39" i="92"/>
  <c r="CB39" i="92"/>
  <c r="CR39" i="92"/>
  <c r="CA39" i="92"/>
  <c r="CN39" i="92"/>
  <c r="CM39" i="92"/>
  <c r="DD39" i="92"/>
  <c r="CJ39" i="92"/>
  <c r="DC39" i="92"/>
  <c r="CG39" i="92"/>
  <c r="CZ39" i="92"/>
  <c r="CE39" i="92"/>
  <c r="CV39" i="92"/>
  <c r="CD39" i="92"/>
  <c r="BG39" i="92"/>
  <c r="AY39" i="92"/>
  <c r="AP39" i="92"/>
  <c r="BF39" i="92"/>
  <c r="AX39" i="92"/>
  <c r="AO39" i="92"/>
  <c r="BM39" i="92"/>
  <c r="BE39" i="92"/>
  <c r="AW39" i="92"/>
  <c r="AN39" i="92"/>
  <c r="BL39" i="92"/>
  <c r="BD39" i="92"/>
  <c r="AV39" i="92"/>
  <c r="AM39" i="92"/>
  <c r="BK39" i="92"/>
  <c r="BC39" i="92"/>
  <c r="AU39" i="92"/>
  <c r="AL39" i="92"/>
  <c r="BJ39" i="92"/>
  <c r="BB39" i="92"/>
  <c r="AT39" i="92"/>
  <c r="AK39" i="92"/>
  <c r="BI39" i="92"/>
  <c r="BA39" i="92"/>
  <c r="AS39" i="92"/>
  <c r="AJ39" i="92"/>
  <c r="BH39" i="92"/>
  <c r="AZ39" i="92"/>
  <c r="AQ39" i="92"/>
  <c r="AR39" i="92"/>
  <c r="CI39" i="92"/>
  <c r="CZ39" i="90"/>
  <c r="CR39" i="90"/>
  <c r="CJ39" i="90"/>
  <c r="CB39" i="90"/>
  <c r="CY39" i="90"/>
  <c r="CQ39" i="90"/>
  <c r="CI39" i="90"/>
  <c r="CA39" i="90"/>
  <c r="CX39" i="90"/>
  <c r="CP39" i="90"/>
  <c r="CH39" i="90"/>
  <c r="CW39" i="90"/>
  <c r="CO39" i="90"/>
  <c r="CG39" i="90"/>
  <c r="DD39" i="90"/>
  <c r="CV39" i="90"/>
  <c r="CN39" i="90"/>
  <c r="CF39" i="90"/>
  <c r="DC39" i="90"/>
  <c r="CU39" i="90"/>
  <c r="CM39" i="90"/>
  <c r="CE39" i="90"/>
  <c r="CS39" i="90"/>
  <c r="CL39" i="90"/>
  <c r="CK39" i="90"/>
  <c r="CD39" i="90"/>
  <c r="CC39" i="90"/>
  <c r="DB39" i="90"/>
  <c r="DA39" i="90"/>
  <c r="CT39" i="90"/>
  <c r="BK39" i="90"/>
  <c r="BC39" i="90"/>
  <c r="AU39" i="90"/>
  <c r="AM39" i="90"/>
  <c r="BD39" i="90"/>
  <c r="AV39" i="90"/>
  <c r="BJ39" i="90"/>
  <c r="BB39" i="90"/>
  <c r="AT39" i="90"/>
  <c r="AL39" i="90"/>
  <c r="BI39" i="90"/>
  <c r="BA39" i="90"/>
  <c r="AS39" i="90"/>
  <c r="AK39" i="90"/>
  <c r="BH39" i="90"/>
  <c r="AZ39" i="90"/>
  <c r="AR39" i="90"/>
  <c r="AJ39" i="90"/>
  <c r="AN39" i="90"/>
  <c r="BG39" i="90"/>
  <c r="AY39" i="90"/>
  <c r="AQ39" i="90"/>
  <c r="BL39" i="90"/>
  <c r="BF39" i="90"/>
  <c r="AX39" i="90"/>
  <c r="AP39" i="90"/>
  <c r="BM39" i="90"/>
  <c r="BE39" i="90"/>
  <c r="AW39" i="90"/>
  <c r="AO39" i="90"/>
  <c r="BK39" i="91"/>
  <c r="BC39" i="91"/>
  <c r="AU39" i="91"/>
  <c r="AM39" i="91"/>
  <c r="BJ39" i="91"/>
  <c r="BB39" i="91"/>
  <c r="AT39" i="91"/>
  <c r="AL39" i="91"/>
  <c r="BI39" i="91"/>
  <c r="BA39" i="91"/>
  <c r="AS39" i="91"/>
  <c r="AK39" i="91"/>
  <c r="BH39" i="91"/>
  <c r="AZ39" i="91"/>
  <c r="AR39" i="91"/>
  <c r="AJ39" i="91"/>
  <c r="BG39" i="91"/>
  <c r="AY39" i="91"/>
  <c r="AQ39" i="91"/>
  <c r="BF39" i="91"/>
  <c r="AX39" i="91"/>
  <c r="AP39" i="91"/>
  <c r="BM39" i="91"/>
  <c r="BE39" i="91"/>
  <c r="AW39" i="91"/>
  <c r="AO39" i="91"/>
  <c r="BL39" i="91"/>
  <c r="BD39" i="91"/>
  <c r="AV39" i="91"/>
  <c r="AN39" i="91"/>
  <c r="DC39" i="91"/>
  <c r="CU39" i="91"/>
  <c r="CM39" i="91"/>
  <c r="CE39" i="91"/>
  <c r="DB39" i="91"/>
  <c r="CT39" i="91"/>
  <c r="CL39" i="91"/>
  <c r="CD39" i="91"/>
  <c r="DA39" i="91"/>
  <c r="CS39" i="91"/>
  <c r="CK39" i="91"/>
  <c r="CC39" i="91"/>
  <c r="CZ39" i="91"/>
  <c r="CR39" i="91"/>
  <c r="CJ39" i="91"/>
  <c r="CB39" i="91"/>
  <c r="CY39" i="91"/>
  <c r="CQ39" i="91"/>
  <c r="CI39" i="91"/>
  <c r="CA39" i="91"/>
  <c r="DD39" i="91"/>
  <c r="CG39" i="91"/>
  <c r="CX39" i="91"/>
  <c r="CF39" i="91"/>
  <c r="CV39" i="91"/>
  <c r="CP39" i="91"/>
  <c r="CO39" i="91"/>
  <c r="CN39" i="91"/>
  <c r="CH39" i="91"/>
  <c r="CW39" i="91"/>
  <c r="BN38" i="92"/>
  <c r="CY38" i="93"/>
  <c r="CQ38" i="93"/>
  <c r="CI38" i="93"/>
  <c r="CA38" i="93"/>
  <c r="CX38" i="93"/>
  <c r="CP38" i="93"/>
  <c r="CH38" i="93"/>
  <c r="CW38" i="93"/>
  <c r="CO38" i="93"/>
  <c r="CG38" i="93"/>
  <c r="DD38" i="93"/>
  <c r="CV38" i="93"/>
  <c r="CN38" i="93"/>
  <c r="CF38" i="93"/>
  <c r="DC38" i="93"/>
  <c r="CU38" i="93"/>
  <c r="CM38" i="93"/>
  <c r="CE38" i="93"/>
  <c r="CZ38" i="93"/>
  <c r="CC38" i="93"/>
  <c r="CT38" i="93"/>
  <c r="CB38" i="93"/>
  <c r="CS38" i="93"/>
  <c r="CR38" i="93"/>
  <c r="CL38" i="93"/>
  <c r="CK38" i="93"/>
  <c r="DB38" i="93"/>
  <c r="CJ38" i="93"/>
  <c r="DA38" i="93"/>
  <c r="CD38" i="93"/>
  <c r="BH38" i="93"/>
  <c r="AZ38" i="93"/>
  <c r="AR38" i="93"/>
  <c r="AJ38" i="93"/>
  <c r="BG38" i="93"/>
  <c r="AY38" i="93"/>
  <c r="AQ38" i="93"/>
  <c r="BF38" i="93"/>
  <c r="AX38" i="93"/>
  <c r="AP38" i="93"/>
  <c r="BL38" i="93"/>
  <c r="BD38" i="93"/>
  <c r="AV38" i="93"/>
  <c r="AN38" i="93"/>
  <c r="BJ38" i="93"/>
  <c r="BB38" i="93"/>
  <c r="AT38" i="93"/>
  <c r="AL38" i="93"/>
  <c r="BI38" i="93"/>
  <c r="BA38" i="93"/>
  <c r="AS38" i="93"/>
  <c r="AK38" i="93"/>
  <c r="BE38" i="93"/>
  <c r="BC38" i="93"/>
  <c r="AW38" i="93"/>
  <c r="AU38" i="93"/>
  <c r="AO38" i="93"/>
  <c r="AM38" i="93"/>
  <c r="BM38" i="93"/>
  <c r="BK38" i="93"/>
  <c r="DB38" i="89"/>
  <c r="CT38" i="89"/>
  <c r="CL38" i="89"/>
  <c r="DD38" i="89"/>
  <c r="CU38" i="89"/>
  <c r="CK38" i="89"/>
  <c r="CC38" i="89"/>
  <c r="DC38" i="89"/>
  <c r="CS38" i="89"/>
  <c r="CJ38" i="89"/>
  <c r="CA38" i="89"/>
  <c r="DA38" i="89"/>
  <c r="CR38" i="89"/>
  <c r="CI38" i="89"/>
  <c r="CZ38" i="89"/>
  <c r="CQ38" i="89"/>
  <c r="CH38" i="89"/>
  <c r="CX38" i="89"/>
  <c r="CO38" i="89"/>
  <c r="CF38" i="89"/>
  <c r="CW38" i="89"/>
  <c r="CN38" i="89"/>
  <c r="CE38" i="89"/>
  <c r="CV38" i="89"/>
  <c r="CM38" i="89"/>
  <c r="CD38" i="89"/>
  <c r="CY38" i="89"/>
  <c r="CP38" i="89"/>
  <c r="CG38" i="89"/>
  <c r="BF38" i="89"/>
  <c r="AX38" i="89"/>
  <c r="AP38" i="89"/>
  <c r="BM38" i="89"/>
  <c r="BE38" i="89"/>
  <c r="AW38" i="89"/>
  <c r="AO38" i="89"/>
  <c r="BL38" i="89"/>
  <c r="BD38" i="89"/>
  <c r="AV38" i="89"/>
  <c r="AN38" i="89"/>
  <c r="BJ38" i="89"/>
  <c r="BB38" i="89"/>
  <c r="AT38" i="89"/>
  <c r="AL38" i="89"/>
  <c r="BH38" i="89"/>
  <c r="AZ38" i="89"/>
  <c r="AR38" i="89"/>
  <c r="BG38" i="89"/>
  <c r="AY38" i="89"/>
  <c r="AQ38" i="89"/>
  <c r="BC38" i="89"/>
  <c r="BA38" i="89"/>
  <c r="AU38" i="89"/>
  <c r="AS38" i="89"/>
  <c r="AM38" i="89"/>
  <c r="AJ38" i="89"/>
  <c r="BK38" i="89"/>
  <c r="BI38" i="89"/>
  <c r="CY39" i="87"/>
  <c r="CQ39" i="87"/>
  <c r="CI39" i="87"/>
  <c r="CA39" i="87"/>
  <c r="CX39" i="87"/>
  <c r="CP39" i="87"/>
  <c r="CH39" i="87"/>
  <c r="CW39" i="87"/>
  <c r="CO39" i="87"/>
  <c r="CG39" i="87"/>
  <c r="DD39" i="87"/>
  <c r="CV39" i="87"/>
  <c r="CN39" i="87"/>
  <c r="CF39" i="87"/>
  <c r="DC39" i="87"/>
  <c r="CU39" i="87"/>
  <c r="CM39" i="87"/>
  <c r="CE39" i="87"/>
  <c r="DB39" i="87"/>
  <c r="CT39" i="87"/>
  <c r="CL39" i="87"/>
  <c r="CD39" i="87"/>
  <c r="DA39" i="87"/>
  <c r="CS39" i="87"/>
  <c r="CK39" i="87"/>
  <c r="CC39" i="87"/>
  <c r="CZ39" i="87"/>
  <c r="CR39" i="87"/>
  <c r="CJ39" i="87"/>
  <c r="CB39" i="87"/>
  <c r="BH39" i="87"/>
  <c r="AZ39" i="87"/>
  <c r="AR39" i="87"/>
  <c r="AJ39" i="87"/>
  <c r="BG39" i="87"/>
  <c r="AY39" i="87"/>
  <c r="AQ39" i="87"/>
  <c r="BF39" i="87"/>
  <c r="AX39" i="87"/>
  <c r="AP39" i="87"/>
  <c r="BM39" i="87"/>
  <c r="BE39" i="87"/>
  <c r="AW39" i="87"/>
  <c r="AO39" i="87"/>
  <c r="BL39" i="87"/>
  <c r="BD39" i="87"/>
  <c r="AV39" i="87"/>
  <c r="AN39" i="87"/>
  <c r="BK39" i="87"/>
  <c r="BC39" i="87"/>
  <c r="AU39" i="87"/>
  <c r="AM39" i="87"/>
  <c r="BJ39" i="87"/>
  <c r="BB39" i="87"/>
  <c r="AT39" i="87"/>
  <c r="AL39" i="87"/>
  <c r="AK39" i="87"/>
  <c r="BI39" i="87"/>
  <c r="BA39" i="87"/>
  <c r="AS39" i="87"/>
  <c r="AQ38" i="83"/>
  <c r="AY38" i="83"/>
  <c r="BH38" i="83"/>
  <c r="CF38" i="83"/>
  <c r="CN38" i="83"/>
  <c r="CW38" i="83"/>
  <c r="CP38" i="83"/>
  <c r="CS38" i="83"/>
  <c r="AR38" i="83"/>
  <c r="AZ38" i="83"/>
  <c r="BI38" i="83"/>
  <c r="CG38" i="83"/>
  <c r="CO38" i="83"/>
  <c r="CX38" i="83"/>
  <c r="CY38" i="83"/>
  <c r="CA38" i="83"/>
  <c r="DA38" i="83"/>
  <c r="AJ38" i="83"/>
  <c r="AS38" i="83"/>
  <c r="BB38" i="83"/>
  <c r="BJ38" i="83"/>
  <c r="CH38" i="83"/>
  <c r="CJ38" i="83"/>
  <c r="AK38" i="83"/>
  <c r="AT38" i="83"/>
  <c r="BC38" i="83"/>
  <c r="BK38" i="83"/>
  <c r="CI38" i="83"/>
  <c r="CQ38" i="83"/>
  <c r="CZ38" i="83"/>
  <c r="AM38" i="83"/>
  <c r="AU38" i="83"/>
  <c r="BD38" i="83"/>
  <c r="BL38" i="83"/>
  <c r="AW38" i="83"/>
  <c r="CM38" i="83"/>
  <c r="DD38" i="83"/>
  <c r="AX38" i="83"/>
  <c r="CT38" i="83"/>
  <c r="BE38" i="83"/>
  <c r="CU38" i="83"/>
  <c r="BF38" i="83"/>
  <c r="CB38" i="83"/>
  <c r="CV38" i="83"/>
  <c r="AN38" i="83"/>
  <c r="BG38" i="83"/>
  <c r="CD38" i="83"/>
  <c r="DB38" i="83"/>
  <c r="CE38" i="83"/>
  <c r="CK38" i="83"/>
  <c r="AO38" i="83"/>
  <c r="BM38" i="83"/>
  <c r="DC38" i="83"/>
  <c r="AP38" i="83"/>
  <c r="AV38" i="83"/>
  <c r="CL38" i="83"/>
  <c r="BA38" i="83"/>
  <c r="CR38" i="83"/>
  <c r="AL38" i="83"/>
  <c r="DC39" i="86"/>
  <c r="CU39" i="86"/>
  <c r="CM39" i="86"/>
  <c r="CE39" i="86"/>
  <c r="DB39" i="86"/>
  <c r="CT39" i="86"/>
  <c r="CL39" i="86"/>
  <c r="CD39" i="86"/>
  <c r="DA39" i="86"/>
  <c r="CS39" i="86"/>
  <c r="CK39" i="86"/>
  <c r="CC39" i="86"/>
  <c r="CZ39" i="86"/>
  <c r="CR39" i="86"/>
  <c r="CJ39" i="86"/>
  <c r="CB39" i="86"/>
  <c r="CY39" i="86"/>
  <c r="CQ39" i="86"/>
  <c r="CI39" i="86"/>
  <c r="CA39" i="86"/>
  <c r="CX39" i="86"/>
  <c r="CP39" i="86"/>
  <c r="CH39" i="86"/>
  <c r="CW39" i="86"/>
  <c r="CO39" i="86"/>
  <c r="CG39" i="86"/>
  <c r="DD39" i="86"/>
  <c r="CV39" i="86"/>
  <c r="CN39" i="86"/>
  <c r="CF39" i="86"/>
  <c r="BI39" i="86"/>
  <c r="BA39" i="86"/>
  <c r="AS39" i="86"/>
  <c r="AK39" i="86"/>
  <c r="BH39" i="86"/>
  <c r="AZ39" i="86"/>
  <c r="AR39" i="86"/>
  <c r="BG39" i="86"/>
  <c r="AY39" i="86"/>
  <c r="AQ39" i="86"/>
  <c r="BD39" i="86"/>
  <c r="AP39" i="86"/>
  <c r="BC39" i="86"/>
  <c r="AO39" i="86"/>
  <c r="BM39" i="86"/>
  <c r="BB39" i="86"/>
  <c r="AN39" i="86"/>
  <c r="BL39" i="86"/>
  <c r="AX39" i="86"/>
  <c r="AM39" i="86"/>
  <c r="BK39" i="86"/>
  <c r="AW39" i="86"/>
  <c r="AL39" i="86"/>
  <c r="BJ39" i="86"/>
  <c r="AV39" i="86"/>
  <c r="AJ39" i="86"/>
  <c r="BF39" i="86"/>
  <c r="AU39" i="86"/>
  <c r="BE39" i="86"/>
  <c r="AT39" i="86"/>
  <c r="CZ38" i="85"/>
  <c r="CR38" i="85"/>
  <c r="CJ38" i="85"/>
  <c r="CB38" i="85"/>
  <c r="CY38" i="85"/>
  <c r="CQ38" i="85"/>
  <c r="CI38" i="85"/>
  <c r="CX38" i="85"/>
  <c r="CP38" i="85"/>
  <c r="CH38" i="85"/>
  <c r="CW38" i="85"/>
  <c r="CO38" i="85"/>
  <c r="CG38" i="85"/>
  <c r="DD38" i="85"/>
  <c r="CV38" i="85"/>
  <c r="CN38" i="85"/>
  <c r="CF38" i="85"/>
  <c r="DC38" i="85"/>
  <c r="CU38" i="85"/>
  <c r="CM38" i="85"/>
  <c r="CE38" i="85"/>
  <c r="DA38" i="85"/>
  <c r="CT38" i="85"/>
  <c r="CS38" i="85"/>
  <c r="CL38" i="85"/>
  <c r="CK38" i="85"/>
  <c r="CD38" i="85"/>
  <c r="CC38" i="85"/>
  <c r="DB38" i="85"/>
  <c r="BL38" i="85"/>
  <c r="BD38" i="85"/>
  <c r="AV38" i="85"/>
  <c r="AN38" i="85"/>
  <c r="BK38" i="85"/>
  <c r="BC38" i="85"/>
  <c r="AU38" i="85"/>
  <c r="AM38" i="85"/>
  <c r="BJ38" i="85"/>
  <c r="BB38" i="85"/>
  <c r="AT38" i="85"/>
  <c r="AL38" i="85"/>
  <c r="BI38" i="85"/>
  <c r="BA38" i="85"/>
  <c r="AS38" i="85"/>
  <c r="AK38" i="85"/>
  <c r="BH38" i="85"/>
  <c r="AZ38" i="85"/>
  <c r="AR38" i="85"/>
  <c r="BG38" i="85"/>
  <c r="AY38" i="85"/>
  <c r="AQ38" i="85"/>
  <c r="BM38" i="85"/>
  <c r="BF38" i="85"/>
  <c r="BE38" i="85"/>
  <c r="AX38" i="85"/>
  <c r="AW38" i="85"/>
  <c r="AP38" i="85"/>
  <c r="AO38" i="85"/>
  <c r="AJ38" i="85"/>
  <c r="CA38" i="85"/>
  <c r="DD38" i="84"/>
  <c r="CV38" i="84"/>
  <c r="CN38" i="84"/>
  <c r="CF38" i="84"/>
  <c r="DC38" i="84"/>
  <c r="CU38" i="84"/>
  <c r="CM38" i="84"/>
  <c r="CE38" i="84"/>
  <c r="CW38" i="84"/>
  <c r="CK38" i="84"/>
  <c r="CA38" i="84"/>
  <c r="CS38" i="84"/>
  <c r="CI38" i="84"/>
  <c r="DB38" i="84"/>
  <c r="CR38" i="84"/>
  <c r="CH38" i="84"/>
  <c r="DA38" i="84"/>
  <c r="CQ38" i="84"/>
  <c r="CG38" i="84"/>
  <c r="CO38" i="84"/>
  <c r="CL38" i="84"/>
  <c r="CJ38" i="84"/>
  <c r="CZ38" i="84"/>
  <c r="CD38" i="84"/>
  <c r="CY38" i="84"/>
  <c r="CC38" i="84"/>
  <c r="CX38" i="84"/>
  <c r="CT38" i="84"/>
  <c r="CP38" i="84"/>
  <c r="CB38" i="84"/>
  <c r="BF38" i="84"/>
  <c r="AX38" i="84"/>
  <c r="AP38" i="84"/>
  <c r="BI38" i="84"/>
  <c r="AZ38" i="84"/>
  <c r="AQ38" i="84"/>
  <c r="BH38" i="84"/>
  <c r="AY38" i="84"/>
  <c r="AO38" i="84"/>
  <c r="BG38" i="84"/>
  <c r="AW38" i="84"/>
  <c r="AN38" i="84"/>
  <c r="BE38" i="84"/>
  <c r="AV38" i="84"/>
  <c r="AM38" i="84"/>
  <c r="BM38" i="84"/>
  <c r="BD38" i="84"/>
  <c r="AU38" i="84"/>
  <c r="AL38" i="84"/>
  <c r="BL38" i="84"/>
  <c r="BC38" i="84"/>
  <c r="AT38" i="84"/>
  <c r="AK38" i="84"/>
  <c r="BK38" i="84"/>
  <c r="BB38" i="84"/>
  <c r="AS38" i="84"/>
  <c r="AJ38" i="84"/>
  <c r="BJ38" i="84"/>
  <c r="BA38" i="84"/>
  <c r="AR38" i="84"/>
  <c r="B23" i="95"/>
  <c r="BF34" i="43"/>
  <c r="P33" i="43"/>
  <c r="A23" i="47" s="1"/>
  <c r="AR33" i="43"/>
  <c r="A23" i="48" s="1"/>
  <c r="AD33" i="43"/>
  <c r="A23" i="49" s="1"/>
  <c r="B34" i="43"/>
  <c r="A24" i="46" s="1"/>
  <c r="DE37" i="89"/>
  <c r="L37" i="89" s="1"/>
  <c r="X26" i="23"/>
  <c r="AD26" i="24" s="1"/>
  <c r="T26" i="23"/>
  <c r="Y26" i="24" s="1"/>
  <c r="P25" i="23"/>
  <c r="T25" i="24" s="1"/>
  <c r="DE37" i="85"/>
  <c r="L37" i="85" s="1"/>
  <c r="BN37" i="84"/>
  <c r="BN37" i="85"/>
  <c r="K37" i="85" s="1"/>
  <c r="BN37" i="88"/>
  <c r="K37" i="88" s="1"/>
  <c r="BN38" i="90"/>
  <c r="K38" i="90" s="1"/>
  <c r="BN38" i="91"/>
  <c r="K38" i="91" s="1"/>
  <c r="BN37" i="89"/>
  <c r="K37" i="89" s="1"/>
  <c r="BN38" i="87"/>
  <c r="K38" i="87" s="1"/>
  <c r="AS27" i="23"/>
  <c r="Z27" i="25"/>
  <c r="B39" i="93"/>
  <c r="A40" i="93"/>
  <c r="AD25" i="25"/>
  <c r="AV25" i="23"/>
  <c r="AA26" i="25"/>
  <c r="AT26" i="23"/>
  <c r="D38" i="93"/>
  <c r="AO28" i="23"/>
  <c r="U28" i="25"/>
  <c r="AK28" i="23"/>
  <c r="P28" i="25"/>
  <c r="AC27" i="23"/>
  <c r="F27" i="25"/>
  <c r="Z28" i="24"/>
  <c r="U28" i="23"/>
  <c r="Q28" i="23"/>
  <c r="U28" i="24"/>
  <c r="M27" i="23"/>
  <c r="P27" i="24"/>
  <c r="A40" i="85"/>
  <c r="B39" i="85"/>
  <c r="N26" i="23"/>
  <c r="D38" i="85"/>
  <c r="Q26" i="24"/>
  <c r="I27" i="23"/>
  <c r="K27" i="24"/>
  <c r="E27" i="23"/>
  <c r="F27" i="24"/>
  <c r="V27" i="24"/>
  <c r="R27" i="23"/>
  <c r="L26" i="24"/>
  <c r="J26" i="23"/>
  <c r="G26" i="24"/>
  <c r="F26" i="23"/>
  <c r="Q27" i="25"/>
  <c r="AL27" i="23"/>
  <c r="Y26" i="25"/>
  <c r="AR26" i="23"/>
  <c r="V27" i="23"/>
  <c r="AA27" i="24"/>
  <c r="V27" i="25"/>
  <c r="AP27" i="23"/>
  <c r="AN26" i="23"/>
  <c r="T26" i="25"/>
  <c r="G26" i="25"/>
  <c r="AD26" i="23"/>
  <c r="AF25" i="23"/>
  <c r="J25" i="25"/>
  <c r="K28" i="25"/>
  <c r="AG28" i="23"/>
  <c r="AH27" i="23"/>
  <c r="L27" i="25"/>
  <c r="O26" i="25"/>
  <c r="AJ26" i="23"/>
  <c r="Y27" i="23"/>
  <c r="A27" i="25"/>
  <c r="Z26" i="23"/>
  <c r="B26" i="25"/>
  <c r="E25" i="25"/>
  <c r="AB25" i="23"/>
  <c r="C16" i="82"/>
  <c r="B8" i="94" s="1"/>
  <c r="A8" i="94"/>
  <c r="D39" i="92"/>
  <c r="B40" i="92"/>
  <c r="A41" i="92"/>
  <c r="B40" i="91"/>
  <c r="A41" i="91"/>
  <c r="D39" i="91"/>
  <c r="A41" i="90"/>
  <c r="B40" i="90"/>
  <c r="D39" i="90"/>
  <c r="A40" i="89"/>
  <c r="B39" i="89"/>
  <c r="BO37" i="89"/>
  <c r="D38" i="89"/>
  <c r="A40" i="88"/>
  <c r="B39" i="88"/>
  <c r="D38" i="88"/>
  <c r="B40" i="87"/>
  <c r="A41" i="87"/>
  <c r="D39" i="87"/>
  <c r="B40" i="86"/>
  <c r="A41" i="86"/>
  <c r="D39" i="86"/>
  <c r="BO37" i="84"/>
  <c r="D38" i="84"/>
  <c r="L26" i="23" s="1"/>
  <c r="O26" i="24" s="1"/>
  <c r="A40" i="84"/>
  <c r="B39" i="84"/>
  <c r="D38" i="83"/>
  <c r="H26" i="23" s="1"/>
  <c r="J26" i="24" s="1"/>
  <c r="A40" i="83"/>
  <c r="B39" i="83"/>
  <c r="H13" i="50"/>
  <c r="H38" i="50" s="1"/>
  <c r="F38" i="50"/>
  <c r="H12" i="50"/>
  <c r="H31" i="50" s="1"/>
  <c r="F31" i="50"/>
  <c r="DB40" i="90" l="1"/>
  <c r="CT40" i="90"/>
  <c r="CL40" i="90"/>
  <c r="CD40" i="90"/>
  <c r="DA40" i="90"/>
  <c r="CS40" i="90"/>
  <c r="CK40" i="90"/>
  <c r="CC40" i="90"/>
  <c r="CZ40" i="90"/>
  <c r="CR40" i="90"/>
  <c r="CJ40" i="90"/>
  <c r="CB40" i="90"/>
  <c r="CY40" i="90"/>
  <c r="CQ40" i="90"/>
  <c r="CI40" i="90"/>
  <c r="CA40" i="90"/>
  <c r="CX40" i="90"/>
  <c r="CP40" i="90"/>
  <c r="CH40" i="90"/>
  <c r="CW40" i="90"/>
  <c r="CO40" i="90"/>
  <c r="CG40" i="90"/>
  <c r="CU40" i="90"/>
  <c r="CN40" i="90"/>
  <c r="CM40" i="90"/>
  <c r="CF40" i="90"/>
  <c r="CE40" i="90"/>
  <c r="DD40" i="90"/>
  <c r="DC40" i="90"/>
  <c r="CV40" i="90"/>
  <c r="BM40" i="90"/>
  <c r="BE40" i="90"/>
  <c r="AW40" i="90"/>
  <c r="AO40" i="90"/>
  <c r="BF40" i="90"/>
  <c r="BL40" i="90"/>
  <c r="BD40" i="90"/>
  <c r="AV40" i="90"/>
  <c r="AN40" i="90"/>
  <c r="BK40" i="90"/>
  <c r="BC40" i="90"/>
  <c r="AU40" i="90"/>
  <c r="AM40" i="90"/>
  <c r="BJ40" i="90"/>
  <c r="BB40" i="90"/>
  <c r="AT40" i="90"/>
  <c r="AL40" i="90"/>
  <c r="AX40" i="90"/>
  <c r="BI40" i="90"/>
  <c r="BA40" i="90"/>
  <c r="AS40" i="90"/>
  <c r="AK40" i="90"/>
  <c r="BH40" i="90"/>
  <c r="AZ40" i="90"/>
  <c r="AR40" i="90"/>
  <c r="AJ40" i="90"/>
  <c r="BG40" i="90"/>
  <c r="AY40" i="90"/>
  <c r="AQ40" i="90"/>
  <c r="AP40" i="90"/>
  <c r="CG39" i="88"/>
  <c r="CH39" i="88"/>
  <c r="CE39" i="88"/>
  <c r="CO39" i="88"/>
  <c r="CX39" i="88"/>
  <c r="CF39" i="88"/>
  <c r="CP39" i="88"/>
  <c r="CY39" i="88"/>
  <c r="CI39" i="88"/>
  <c r="CQ39" i="88"/>
  <c r="CZ39" i="88"/>
  <c r="CJ39" i="88"/>
  <c r="CS39" i="88"/>
  <c r="DA39" i="88"/>
  <c r="CK39" i="88"/>
  <c r="CT39" i="88"/>
  <c r="DB39" i="88"/>
  <c r="CA39" i="88"/>
  <c r="CL39" i="88"/>
  <c r="CU39" i="88"/>
  <c r="DC39" i="88"/>
  <c r="CB39" i="88"/>
  <c r="CM39" i="88"/>
  <c r="CV39" i="88"/>
  <c r="DD39" i="88"/>
  <c r="CD39" i="88"/>
  <c r="CN39" i="88"/>
  <c r="CW39" i="88"/>
  <c r="AM39" i="88"/>
  <c r="AU39" i="88"/>
  <c r="BD39" i="88"/>
  <c r="BL39" i="88"/>
  <c r="AN39" i="88"/>
  <c r="AV39" i="88"/>
  <c r="BE39" i="88"/>
  <c r="BM39" i="88"/>
  <c r="AO39" i="88"/>
  <c r="AW39" i="88"/>
  <c r="BF39" i="88"/>
  <c r="AP39" i="88"/>
  <c r="AX39" i="88"/>
  <c r="BG39" i="88"/>
  <c r="AQ39" i="88"/>
  <c r="AY39" i="88"/>
  <c r="BH39" i="88"/>
  <c r="BC39" i="88"/>
  <c r="AJ39" i="88"/>
  <c r="BI39" i="88"/>
  <c r="AK39" i="88"/>
  <c r="BJ39" i="88"/>
  <c r="AS39" i="88"/>
  <c r="AZ39" i="88"/>
  <c r="BB39" i="88"/>
  <c r="AR39" i="88"/>
  <c r="AT39" i="88"/>
  <c r="BK39" i="88"/>
  <c r="CR39" i="88"/>
  <c r="BA39" i="88"/>
  <c r="AL39" i="88"/>
  <c r="BN39" i="92"/>
  <c r="DB40" i="87"/>
  <c r="CT40" i="87"/>
  <c r="CL40" i="87"/>
  <c r="CD40" i="87"/>
  <c r="DA40" i="87"/>
  <c r="CS40" i="87"/>
  <c r="CK40" i="87"/>
  <c r="CC40" i="87"/>
  <c r="CZ40" i="87"/>
  <c r="CR40" i="87"/>
  <c r="CJ40" i="87"/>
  <c r="CB40" i="87"/>
  <c r="CY40" i="87"/>
  <c r="CQ40" i="87"/>
  <c r="CI40" i="87"/>
  <c r="CX40" i="87"/>
  <c r="CP40" i="87"/>
  <c r="CH40" i="87"/>
  <c r="CW40" i="87"/>
  <c r="CO40" i="87"/>
  <c r="CG40" i="87"/>
  <c r="DD40" i="87"/>
  <c r="CV40" i="87"/>
  <c r="CN40" i="87"/>
  <c r="CF40" i="87"/>
  <c r="DC40" i="87"/>
  <c r="CU40" i="87"/>
  <c r="CM40" i="87"/>
  <c r="CE40" i="87"/>
  <c r="BK40" i="87"/>
  <c r="BC40" i="87"/>
  <c r="AU40" i="87"/>
  <c r="AM40" i="87"/>
  <c r="BJ40" i="87"/>
  <c r="BB40" i="87"/>
  <c r="AT40" i="87"/>
  <c r="AL40" i="87"/>
  <c r="BI40" i="87"/>
  <c r="BA40" i="87"/>
  <c r="AS40" i="87"/>
  <c r="AK40" i="87"/>
  <c r="BH40" i="87"/>
  <c r="AZ40" i="87"/>
  <c r="AR40" i="87"/>
  <c r="BG40" i="87"/>
  <c r="AY40" i="87"/>
  <c r="AQ40" i="87"/>
  <c r="BF40" i="87"/>
  <c r="AX40" i="87"/>
  <c r="AP40" i="87"/>
  <c r="BM40" i="87"/>
  <c r="BE40" i="87"/>
  <c r="AW40" i="87"/>
  <c r="AO40" i="87"/>
  <c r="BL40" i="87"/>
  <c r="BD40" i="87"/>
  <c r="AV40" i="87"/>
  <c r="AN40" i="87"/>
  <c r="AJ40" i="87"/>
  <c r="CA40" i="87"/>
  <c r="BF40" i="91"/>
  <c r="AX40" i="91"/>
  <c r="AO40" i="91"/>
  <c r="BM40" i="91"/>
  <c r="BE40" i="91"/>
  <c r="AW40" i="91"/>
  <c r="AN40" i="91"/>
  <c r="BL40" i="91"/>
  <c r="BD40" i="91"/>
  <c r="AV40" i="91"/>
  <c r="AM40" i="91"/>
  <c r="BK40" i="91"/>
  <c r="BC40" i="91"/>
  <c r="AU40" i="91"/>
  <c r="AL40" i="91"/>
  <c r="BJ40" i="91"/>
  <c r="BB40" i="91"/>
  <c r="AT40" i="91"/>
  <c r="AK40" i="91"/>
  <c r="BI40" i="91"/>
  <c r="BA40" i="91"/>
  <c r="AS40" i="91"/>
  <c r="AJ40" i="91"/>
  <c r="BH40" i="91"/>
  <c r="AZ40" i="91"/>
  <c r="AR40" i="91"/>
  <c r="BG40" i="91"/>
  <c r="AY40" i="91"/>
  <c r="AQ40" i="91"/>
  <c r="CX40" i="91"/>
  <c r="CP40" i="91"/>
  <c r="CH40" i="91"/>
  <c r="CW40" i="91"/>
  <c r="CO40" i="91"/>
  <c r="CF40" i="91"/>
  <c r="DD40" i="91"/>
  <c r="CV40" i="91"/>
  <c r="CN40" i="91"/>
  <c r="CE40" i="91"/>
  <c r="DC40" i="91"/>
  <c r="CU40" i="91"/>
  <c r="CM40" i="91"/>
  <c r="CD40" i="91"/>
  <c r="DB40" i="91"/>
  <c r="CT40" i="91"/>
  <c r="CL40" i="91"/>
  <c r="CC40" i="91"/>
  <c r="CS40" i="91"/>
  <c r="CR40" i="91"/>
  <c r="CK40" i="91"/>
  <c r="CJ40" i="91"/>
  <c r="DA40" i="91"/>
  <c r="CI40" i="91"/>
  <c r="CZ40" i="91"/>
  <c r="CB40" i="91"/>
  <c r="CY40" i="91"/>
  <c r="CA40" i="91"/>
  <c r="CQ40" i="91"/>
  <c r="CG40" i="91"/>
  <c r="AP40" i="91"/>
  <c r="DA39" i="93"/>
  <c r="CS39" i="93"/>
  <c r="CK39" i="93"/>
  <c r="CC39" i="93"/>
  <c r="CZ39" i="93"/>
  <c r="CR39" i="93"/>
  <c r="CJ39" i="93"/>
  <c r="CB39" i="93"/>
  <c r="CY39" i="93"/>
  <c r="CQ39" i="93"/>
  <c r="CI39" i="93"/>
  <c r="CA39" i="93"/>
  <c r="CX39" i="93"/>
  <c r="CP39" i="93"/>
  <c r="CH39" i="93"/>
  <c r="CW39" i="93"/>
  <c r="CO39" i="93"/>
  <c r="CG39" i="93"/>
  <c r="CN39" i="93"/>
  <c r="CM39" i="93"/>
  <c r="DD39" i="93"/>
  <c r="CL39" i="93"/>
  <c r="DC39" i="93"/>
  <c r="CF39" i="93"/>
  <c r="DB39" i="93"/>
  <c r="CE39" i="93"/>
  <c r="CV39" i="93"/>
  <c r="CD39" i="93"/>
  <c r="CU39" i="93"/>
  <c r="CT39" i="93"/>
  <c r="BJ39" i="93"/>
  <c r="BB39" i="93"/>
  <c r="AT39" i="93"/>
  <c r="AL39" i="93"/>
  <c r="BI39" i="93"/>
  <c r="BA39" i="93"/>
  <c r="AS39" i="93"/>
  <c r="AK39" i="93"/>
  <c r="BH39" i="93"/>
  <c r="AZ39" i="93"/>
  <c r="AR39" i="93"/>
  <c r="AJ39" i="93"/>
  <c r="BF39" i="93"/>
  <c r="AX39" i="93"/>
  <c r="AP39" i="93"/>
  <c r="BL39" i="93"/>
  <c r="BD39" i="93"/>
  <c r="AV39" i="93"/>
  <c r="AN39" i="93"/>
  <c r="BK39" i="93"/>
  <c r="BC39" i="93"/>
  <c r="AU39" i="93"/>
  <c r="AM39" i="93"/>
  <c r="BG39" i="93"/>
  <c r="BE39" i="93"/>
  <c r="AY39" i="93"/>
  <c r="AW39" i="93"/>
  <c r="AQ39" i="93"/>
  <c r="AO39" i="93"/>
  <c r="BM39" i="93"/>
  <c r="DB39" i="89"/>
  <c r="CW39" i="89"/>
  <c r="CO39" i="89"/>
  <c r="CG39" i="89"/>
  <c r="DC39" i="89"/>
  <c r="CS39" i="89"/>
  <c r="CJ39" i="89"/>
  <c r="DA39" i="89"/>
  <c r="CR39" i="89"/>
  <c r="CI39" i="89"/>
  <c r="CZ39" i="89"/>
  <c r="CQ39" i="89"/>
  <c r="CH39" i="89"/>
  <c r="CY39" i="89"/>
  <c r="CP39" i="89"/>
  <c r="CF39" i="89"/>
  <c r="CV39" i="89"/>
  <c r="CM39" i="89"/>
  <c r="CD39" i="89"/>
  <c r="CU39" i="89"/>
  <c r="CL39" i="89"/>
  <c r="CB39" i="89"/>
  <c r="DD39" i="89"/>
  <c r="CT39" i="89"/>
  <c r="CK39" i="89"/>
  <c r="CA39" i="89"/>
  <c r="CX39" i="89"/>
  <c r="CN39" i="89"/>
  <c r="CE39" i="89"/>
  <c r="BI39" i="89"/>
  <c r="BA39" i="89"/>
  <c r="AS39" i="89"/>
  <c r="AJ39" i="89"/>
  <c r="BH39" i="89"/>
  <c r="AZ39" i="89"/>
  <c r="AR39" i="89"/>
  <c r="BG39" i="89"/>
  <c r="AY39" i="89"/>
  <c r="AQ39" i="89"/>
  <c r="BM39" i="89"/>
  <c r="BE39" i="89"/>
  <c r="AW39" i="89"/>
  <c r="AO39" i="89"/>
  <c r="BK39" i="89"/>
  <c r="BC39" i="89"/>
  <c r="AU39" i="89"/>
  <c r="AM39" i="89"/>
  <c r="BJ39" i="89"/>
  <c r="BB39" i="89"/>
  <c r="AT39" i="89"/>
  <c r="AK39" i="89"/>
  <c r="BF39" i="89"/>
  <c r="BD39" i="89"/>
  <c r="AX39" i="89"/>
  <c r="AV39" i="89"/>
  <c r="AP39" i="89"/>
  <c r="AN39" i="89"/>
  <c r="BL39" i="89"/>
  <c r="AL39" i="89"/>
  <c r="DA40" i="92"/>
  <c r="CS40" i="92"/>
  <c r="CK40" i="92"/>
  <c r="CC40" i="92"/>
  <c r="CZ40" i="92"/>
  <c r="CR40" i="92"/>
  <c r="CJ40" i="92"/>
  <c r="CB40" i="92"/>
  <c r="CY40" i="92"/>
  <c r="CQ40" i="92"/>
  <c r="CI40" i="92"/>
  <c r="CA40" i="92"/>
  <c r="CX40" i="92"/>
  <c r="CP40" i="92"/>
  <c r="DD40" i="92"/>
  <c r="CV40" i="92"/>
  <c r="CN40" i="92"/>
  <c r="CF40" i="92"/>
  <c r="DC40" i="92"/>
  <c r="CU40" i="92"/>
  <c r="CM40" i="92"/>
  <c r="CE40" i="92"/>
  <c r="DB40" i="92"/>
  <c r="CT40" i="92"/>
  <c r="CL40" i="92"/>
  <c r="CD40" i="92"/>
  <c r="CW40" i="92"/>
  <c r="CO40" i="92"/>
  <c r="CH40" i="92"/>
  <c r="CG40" i="92"/>
  <c r="BI40" i="92"/>
  <c r="BA40" i="92"/>
  <c r="AS40" i="92"/>
  <c r="AK40" i="92"/>
  <c r="BH40" i="92"/>
  <c r="AZ40" i="92"/>
  <c r="AR40" i="92"/>
  <c r="AJ40" i="92"/>
  <c r="BG40" i="92"/>
  <c r="AY40" i="92"/>
  <c r="AQ40" i="92"/>
  <c r="BF40" i="92"/>
  <c r="AX40" i="92"/>
  <c r="AP40" i="92"/>
  <c r="BM40" i="92"/>
  <c r="BE40" i="92"/>
  <c r="AW40" i="92"/>
  <c r="AO40" i="92"/>
  <c r="BL40" i="92"/>
  <c r="BD40" i="92"/>
  <c r="AV40" i="92"/>
  <c r="AN40" i="92"/>
  <c r="BK40" i="92"/>
  <c r="BC40" i="92"/>
  <c r="AU40" i="92"/>
  <c r="AM40" i="92"/>
  <c r="BJ40" i="92"/>
  <c r="BB40" i="92"/>
  <c r="AT40" i="92"/>
  <c r="AL40" i="92"/>
  <c r="BO39" i="92"/>
  <c r="DC39" i="85"/>
  <c r="CU39" i="85"/>
  <c r="CM39" i="85"/>
  <c r="CE39" i="85"/>
  <c r="DB39" i="85"/>
  <c r="CT39" i="85"/>
  <c r="CL39" i="85"/>
  <c r="CD39" i="85"/>
  <c r="DA39" i="85"/>
  <c r="CS39" i="85"/>
  <c r="CK39" i="85"/>
  <c r="CC39" i="85"/>
  <c r="CZ39" i="85"/>
  <c r="CR39" i="85"/>
  <c r="CJ39" i="85"/>
  <c r="CA39" i="85"/>
  <c r="CY39" i="85"/>
  <c r="CQ39" i="85"/>
  <c r="CI39" i="85"/>
  <c r="CX39" i="85"/>
  <c r="CP39" i="85"/>
  <c r="CH39" i="85"/>
  <c r="DD39" i="85"/>
  <c r="CW39" i="85"/>
  <c r="CV39" i="85"/>
  <c r="CO39" i="85"/>
  <c r="CN39" i="85"/>
  <c r="CG39" i="85"/>
  <c r="CF39" i="85"/>
  <c r="BG39" i="85"/>
  <c r="AY39" i="85"/>
  <c r="AQ39" i="85"/>
  <c r="BF39" i="85"/>
  <c r="AX39" i="85"/>
  <c r="AP39" i="85"/>
  <c r="BM39" i="85"/>
  <c r="BE39" i="85"/>
  <c r="AW39" i="85"/>
  <c r="AO39" i="85"/>
  <c r="BL39" i="85"/>
  <c r="BD39" i="85"/>
  <c r="AV39" i="85"/>
  <c r="AN39" i="85"/>
  <c r="BK39" i="85"/>
  <c r="BC39" i="85"/>
  <c r="AU39" i="85"/>
  <c r="AM39" i="85"/>
  <c r="BJ39" i="85"/>
  <c r="BB39" i="85"/>
  <c r="AT39" i="85"/>
  <c r="AL39" i="85"/>
  <c r="BI39" i="85"/>
  <c r="BH39" i="85"/>
  <c r="BA39" i="85"/>
  <c r="AZ39" i="85"/>
  <c r="AS39" i="85"/>
  <c r="AR39" i="85"/>
  <c r="AJ39" i="85"/>
  <c r="AL39" i="83"/>
  <c r="AU39" i="83"/>
  <c r="BD39" i="83"/>
  <c r="BL39" i="83"/>
  <c r="CA39" i="83"/>
  <c r="CJ39" i="83"/>
  <c r="CR39" i="83"/>
  <c r="DA39" i="83"/>
  <c r="CC39" i="83"/>
  <c r="DC39" i="83"/>
  <c r="CN39" i="83"/>
  <c r="AN39" i="83"/>
  <c r="AV39" i="83"/>
  <c r="BE39" i="83"/>
  <c r="BM39" i="83"/>
  <c r="CB39" i="83"/>
  <c r="CK39" i="83"/>
  <c r="CT39" i="83"/>
  <c r="DB39" i="83"/>
  <c r="CU39" i="83"/>
  <c r="AO39" i="83"/>
  <c r="AW39" i="83"/>
  <c r="BF39" i="83"/>
  <c r="CL39" i="83"/>
  <c r="AP39" i="83"/>
  <c r="AX39" i="83"/>
  <c r="BG39" i="83"/>
  <c r="CE39" i="83"/>
  <c r="CM39" i="83"/>
  <c r="CV39" i="83"/>
  <c r="DD39" i="83"/>
  <c r="CF39" i="83"/>
  <c r="AQ39" i="83"/>
  <c r="AY39" i="83"/>
  <c r="BH39" i="83"/>
  <c r="CW39" i="83"/>
  <c r="AR39" i="83"/>
  <c r="BK39" i="83"/>
  <c r="CH39" i="83"/>
  <c r="AS39" i="83"/>
  <c r="CI39" i="83"/>
  <c r="AT39" i="83"/>
  <c r="CO39" i="83"/>
  <c r="AZ39" i="83"/>
  <c r="CP39" i="83"/>
  <c r="CZ39" i="83"/>
  <c r="BA39" i="83"/>
  <c r="CQ39" i="83"/>
  <c r="CX39" i="83"/>
  <c r="BC39" i="83"/>
  <c r="AJ39" i="83"/>
  <c r="BI39" i="83"/>
  <c r="CY39" i="83"/>
  <c r="AK39" i="83"/>
  <c r="BJ39" i="83"/>
  <c r="CG39" i="83"/>
  <c r="AM39" i="83"/>
  <c r="CD39" i="83"/>
  <c r="BB39" i="83"/>
  <c r="CS39" i="83"/>
  <c r="CW40" i="86"/>
  <c r="CO40" i="86"/>
  <c r="CG40" i="86"/>
  <c r="DD40" i="86"/>
  <c r="CV40" i="86"/>
  <c r="CN40" i="86"/>
  <c r="CF40" i="86"/>
  <c r="DC40" i="86"/>
  <c r="CU40" i="86"/>
  <c r="CM40" i="86"/>
  <c r="CE40" i="86"/>
  <c r="DB40" i="86"/>
  <c r="CT40" i="86"/>
  <c r="CL40" i="86"/>
  <c r="CD40" i="86"/>
  <c r="DA40" i="86"/>
  <c r="CS40" i="86"/>
  <c r="CK40" i="86"/>
  <c r="CC40" i="86"/>
  <c r="CZ40" i="86"/>
  <c r="CR40" i="86"/>
  <c r="CJ40" i="86"/>
  <c r="CB40" i="86"/>
  <c r="CY40" i="86"/>
  <c r="CQ40" i="86"/>
  <c r="CI40" i="86"/>
  <c r="CA40" i="86"/>
  <c r="CX40" i="86"/>
  <c r="CP40" i="86"/>
  <c r="CH40" i="86"/>
  <c r="BK40" i="86"/>
  <c r="BC40" i="86"/>
  <c r="AU40" i="86"/>
  <c r="AM40" i="86"/>
  <c r="BJ40" i="86"/>
  <c r="BB40" i="86"/>
  <c r="AT40" i="86"/>
  <c r="AL40" i="86"/>
  <c r="BI40" i="86"/>
  <c r="BA40" i="86"/>
  <c r="AS40" i="86"/>
  <c r="AK40" i="86"/>
  <c r="BM40" i="86"/>
  <c r="AY40" i="86"/>
  <c r="AN40" i="86"/>
  <c r="BL40" i="86"/>
  <c r="AX40" i="86"/>
  <c r="AJ40" i="86"/>
  <c r="BH40" i="86"/>
  <c r="AW40" i="86"/>
  <c r="BG40" i="86"/>
  <c r="AV40" i="86"/>
  <c r="BF40" i="86"/>
  <c r="AR40" i="86"/>
  <c r="BE40" i="86"/>
  <c r="AQ40" i="86"/>
  <c r="BD40" i="86"/>
  <c r="AP40" i="86"/>
  <c r="AZ40" i="86"/>
  <c r="AO40" i="86"/>
  <c r="CX39" i="84"/>
  <c r="CP39" i="84"/>
  <c r="CH39" i="84"/>
  <c r="CW39" i="84"/>
  <c r="CO39" i="84"/>
  <c r="CG39" i="84"/>
  <c r="CY39" i="84"/>
  <c r="CM39" i="84"/>
  <c r="CC39" i="84"/>
  <c r="CU39" i="84"/>
  <c r="CK39" i="84"/>
  <c r="CA39" i="84"/>
  <c r="DD39" i="84"/>
  <c r="CT39" i="84"/>
  <c r="CJ39" i="84"/>
  <c r="DC39" i="84"/>
  <c r="CS39" i="84"/>
  <c r="CI39" i="84"/>
  <c r="DA39" i="84"/>
  <c r="CE39" i="84"/>
  <c r="CZ39" i="84"/>
  <c r="CD39" i="84"/>
  <c r="CV39" i="84"/>
  <c r="CB39" i="84"/>
  <c r="CR39" i="84"/>
  <c r="CQ39" i="84"/>
  <c r="CL39" i="84"/>
  <c r="CF39" i="84"/>
  <c r="DB39" i="84"/>
  <c r="CN39" i="84"/>
  <c r="BH39" i="84"/>
  <c r="AZ39" i="84"/>
  <c r="AR39" i="84"/>
  <c r="AJ39" i="84"/>
  <c r="BF39" i="84"/>
  <c r="AW39" i="84"/>
  <c r="AN39" i="84"/>
  <c r="BE39" i="84"/>
  <c r="AV39" i="84"/>
  <c r="AM39" i="84"/>
  <c r="BM39" i="84"/>
  <c r="BD39" i="84"/>
  <c r="AU39" i="84"/>
  <c r="AL39" i="84"/>
  <c r="BL39" i="84"/>
  <c r="BC39" i="84"/>
  <c r="AT39" i="84"/>
  <c r="AK39" i="84"/>
  <c r="BK39" i="84"/>
  <c r="BB39" i="84"/>
  <c r="AS39" i="84"/>
  <c r="BJ39" i="84"/>
  <c r="BA39" i="84"/>
  <c r="AQ39" i="84"/>
  <c r="BI39" i="84"/>
  <c r="AY39" i="84"/>
  <c r="AP39" i="84"/>
  <c r="BG39" i="84"/>
  <c r="AX39" i="84"/>
  <c r="AO39" i="84"/>
  <c r="A24" i="95"/>
  <c r="BG34" i="43"/>
  <c r="Q33" i="43"/>
  <c r="B23" i="47" s="1"/>
  <c r="AS33" i="43"/>
  <c r="B23" i="48" s="1"/>
  <c r="AE33" i="43"/>
  <c r="B23" i="49" s="1"/>
  <c r="C34" i="43"/>
  <c r="B24" i="46" s="1"/>
  <c r="BN38" i="93"/>
  <c r="DE39" i="91"/>
  <c r="L39" i="91" s="1"/>
  <c r="X27" i="23"/>
  <c r="AD27" i="24" s="1"/>
  <c r="DE39" i="87"/>
  <c r="L39" i="87" s="1"/>
  <c r="T27" i="23"/>
  <c r="Y27" i="24" s="1"/>
  <c r="DE39" i="86"/>
  <c r="L39" i="86" s="1"/>
  <c r="P26" i="23"/>
  <c r="T26" i="24" s="1"/>
  <c r="BN39" i="90"/>
  <c r="K39" i="90" s="1"/>
  <c r="BN38" i="85"/>
  <c r="K38" i="85" s="1"/>
  <c r="BN39" i="91"/>
  <c r="K39" i="91" s="1"/>
  <c r="BN39" i="87"/>
  <c r="K39" i="87" s="1"/>
  <c r="BN39" i="86"/>
  <c r="K39" i="86" s="1"/>
  <c r="Z28" i="25"/>
  <c r="AS28" i="23"/>
  <c r="B40" i="93"/>
  <c r="A41" i="93"/>
  <c r="AD26" i="25"/>
  <c r="AV26" i="23"/>
  <c r="AT27" i="23"/>
  <c r="AA27" i="25"/>
  <c r="D39" i="93"/>
  <c r="AO29" i="23"/>
  <c r="U29" i="25"/>
  <c r="AK29" i="23"/>
  <c r="P29" i="25"/>
  <c r="AC28" i="23"/>
  <c r="F28" i="25"/>
  <c r="U29" i="23"/>
  <c r="Z29" i="24"/>
  <c r="U29" i="24"/>
  <c r="Q29" i="23"/>
  <c r="Q27" i="24"/>
  <c r="N27" i="23"/>
  <c r="D39" i="85"/>
  <c r="P28" i="24"/>
  <c r="M28" i="23"/>
  <c r="B40" i="85"/>
  <c r="A41" i="85"/>
  <c r="I28" i="23"/>
  <c r="K28" i="24"/>
  <c r="F28" i="24"/>
  <c r="E28" i="23"/>
  <c r="R28" i="23"/>
  <c r="V28" i="24"/>
  <c r="L27" i="24"/>
  <c r="J27" i="23"/>
  <c r="F27" i="23"/>
  <c r="G27" i="24"/>
  <c r="AP28" i="23"/>
  <c r="V28" i="25"/>
  <c r="Y27" i="25"/>
  <c r="AR27" i="23"/>
  <c r="J26" i="25"/>
  <c r="AF26" i="23"/>
  <c r="AN27" i="23"/>
  <c r="T27" i="25"/>
  <c r="AL28" i="23"/>
  <c r="Q28" i="25"/>
  <c r="V28" i="23"/>
  <c r="AA28" i="24"/>
  <c r="G27" i="25"/>
  <c r="AD27" i="23"/>
  <c r="L28" i="25"/>
  <c r="AH28" i="23"/>
  <c r="K29" i="25"/>
  <c r="AG29" i="23"/>
  <c r="O27" i="25"/>
  <c r="AJ27" i="23"/>
  <c r="B27" i="25"/>
  <c r="Z27" i="23"/>
  <c r="Y28" i="23"/>
  <c r="A28" i="25"/>
  <c r="E26" i="25"/>
  <c r="AB26" i="23"/>
  <c r="B17" i="82"/>
  <c r="A42" i="92"/>
  <c r="B41" i="92"/>
  <c r="D40" i="92"/>
  <c r="B41" i="91"/>
  <c r="A42" i="91"/>
  <c r="D40" i="91"/>
  <c r="BO39" i="91"/>
  <c r="D40" i="90"/>
  <c r="B41" i="90"/>
  <c r="A42" i="90"/>
  <c r="D39" i="89"/>
  <c r="B40" i="89"/>
  <c r="A41" i="89"/>
  <c r="D39" i="88"/>
  <c r="B40" i="88"/>
  <c r="A41" i="88"/>
  <c r="B41" i="87"/>
  <c r="A42" i="87"/>
  <c r="D40" i="87"/>
  <c r="B41" i="86"/>
  <c r="A42" i="86"/>
  <c r="D40" i="86"/>
  <c r="BO39" i="86"/>
  <c r="D39" i="84"/>
  <c r="L27" i="23" s="1"/>
  <c r="O27" i="24" s="1"/>
  <c r="A41" i="84"/>
  <c r="B40" i="84"/>
  <c r="D39" i="83"/>
  <c r="H27" i="23" s="1"/>
  <c r="J27" i="24" s="1"/>
  <c r="A41" i="83"/>
  <c r="B40" i="83"/>
  <c r="F40" i="50"/>
  <c r="F39" i="50"/>
  <c r="H14" i="50"/>
  <c r="H39" i="50" s="1"/>
  <c r="CW40" i="89" l="1"/>
  <c r="CO40" i="89"/>
  <c r="CG40" i="89"/>
  <c r="DD40" i="89"/>
  <c r="CV40" i="89"/>
  <c r="CZ40" i="89"/>
  <c r="CR40" i="89"/>
  <c r="CJ40" i="89"/>
  <c r="CA40" i="89"/>
  <c r="CU40" i="89"/>
  <c r="CK40" i="89"/>
  <c r="CT40" i="89"/>
  <c r="CI40" i="89"/>
  <c r="CS40" i="89"/>
  <c r="CH40" i="89"/>
  <c r="DC40" i="89"/>
  <c r="CQ40" i="89"/>
  <c r="CF40" i="89"/>
  <c r="DA40" i="89"/>
  <c r="CN40" i="89"/>
  <c r="CC40" i="89"/>
  <c r="CY40" i="89"/>
  <c r="CM40" i="89"/>
  <c r="CB40" i="89"/>
  <c r="CX40" i="89"/>
  <c r="CL40" i="89"/>
  <c r="DB40" i="89"/>
  <c r="CP40" i="89"/>
  <c r="CE40" i="89"/>
  <c r="BL40" i="89"/>
  <c r="BD40" i="89"/>
  <c r="AV40" i="89"/>
  <c r="AN40" i="89"/>
  <c r="BK40" i="89"/>
  <c r="BC40" i="89"/>
  <c r="AU40" i="89"/>
  <c r="AL40" i="89"/>
  <c r="BJ40" i="89"/>
  <c r="BB40" i="89"/>
  <c r="AT40" i="89"/>
  <c r="AK40" i="89"/>
  <c r="BH40" i="89"/>
  <c r="AZ40" i="89"/>
  <c r="AR40" i="89"/>
  <c r="BF40" i="89"/>
  <c r="AX40" i="89"/>
  <c r="AP40" i="89"/>
  <c r="BM40" i="89"/>
  <c r="BE40" i="89"/>
  <c r="AW40" i="89"/>
  <c r="AO40" i="89"/>
  <c r="BI40" i="89"/>
  <c r="BG40" i="89"/>
  <c r="BA40" i="89"/>
  <c r="AY40" i="89"/>
  <c r="AS40" i="89"/>
  <c r="AQ40" i="89"/>
  <c r="AJ40" i="89"/>
  <c r="CD40" i="89"/>
  <c r="AM40" i="89"/>
  <c r="BI41" i="91"/>
  <c r="BA41" i="91"/>
  <c r="AS41" i="91"/>
  <c r="AJ41" i="91"/>
  <c r="BH41" i="91"/>
  <c r="AZ41" i="91"/>
  <c r="AR41" i="91"/>
  <c r="BG41" i="91"/>
  <c r="AY41" i="91"/>
  <c r="AP41" i="91"/>
  <c r="BF41" i="91"/>
  <c r="AX41" i="91"/>
  <c r="AO41" i="91"/>
  <c r="BM41" i="91"/>
  <c r="BE41" i="91"/>
  <c r="AW41" i="91"/>
  <c r="AN41" i="91"/>
  <c r="BL41" i="91"/>
  <c r="BD41" i="91"/>
  <c r="AV41" i="91"/>
  <c r="AM41" i="91"/>
  <c r="BK41" i="91"/>
  <c r="BC41" i="91"/>
  <c r="AU41" i="91"/>
  <c r="AL41" i="91"/>
  <c r="BJ41" i="91"/>
  <c r="BB41" i="91"/>
  <c r="AT41" i="91"/>
  <c r="AK41" i="91"/>
  <c r="DA41" i="91"/>
  <c r="CS41" i="91"/>
  <c r="CK41" i="91"/>
  <c r="CB41" i="91"/>
  <c r="CZ41" i="91"/>
  <c r="CR41" i="91"/>
  <c r="CJ41" i="91"/>
  <c r="CA41" i="91"/>
  <c r="CY41" i="91"/>
  <c r="CQ41" i="91"/>
  <c r="CI41" i="91"/>
  <c r="CX41" i="91"/>
  <c r="CP41" i="91"/>
  <c r="CG41" i="91"/>
  <c r="CW41" i="91"/>
  <c r="CO41" i="91"/>
  <c r="CF41" i="91"/>
  <c r="CM41" i="91"/>
  <c r="DD41" i="91"/>
  <c r="CL41" i="91"/>
  <c r="DB41" i="91"/>
  <c r="CD41" i="91"/>
  <c r="CV41" i="91"/>
  <c r="CC41" i="91"/>
  <c r="CU41" i="91"/>
  <c r="CT41" i="91"/>
  <c r="CN41" i="91"/>
  <c r="DC41" i="91"/>
  <c r="CE41" i="91"/>
  <c r="CH41" i="91"/>
  <c r="AQ41" i="91"/>
  <c r="DC40" i="93"/>
  <c r="CU40" i="93"/>
  <c r="CM40" i="93"/>
  <c r="CE40" i="93"/>
  <c r="DB40" i="93"/>
  <c r="CT40" i="93"/>
  <c r="CL40" i="93"/>
  <c r="CD40" i="93"/>
  <c r="DA40" i="93"/>
  <c r="CS40" i="93"/>
  <c r="CK40" i="93"/>
  <c r="CC40" i="93"/>
  <c r="CZ40" i="93"/>
  <c r="CR40" i="93"/>
  <c r="CJ40" i="93"/>
  <c r="CB40" i="93"/>
  <c r="CY40" i="93"/>
  <c r="CQ40" i="93"/>
  <c r="CI40" i="93"/>
  <c r="CA40" i="93"/>
  <c r="DD40" i="93"/>
  <c r="CG40" i="93"/>
  <c r="CX40" i="93"/>
  <c r="CF40" i="93"/>
  <c r="CW40" i="93"/>
  <c r="CV40" i="93"/>
  <c r="CP40" i="93"/>
  <c r="CO40" i="93"/>
  <c r="CN40" i="93"/>
  <c r="CH40" i="93"/>
  <c r="BL40" i="93"/>
  <c r="BD40" i="93"/>
  <c r="AV40" i="93"/>
  <c r="AN40" i="93"/>
  <c r="BK40" i="93"/>
  <c r="BC40" i="93"/>
  <c r="AU40" i="93"/>
  <c r="AM40" i="93"/>
  <c r="BJ40" i="93"/>
  <c r="BB40" i="93"/>
  <c r="AT40" i="93"/>
  <c r="AL40" i="93"/>
  <c r="BH40" i="93"/>
  <c r="AZ40" i="93"/>
  <c r="AR40" i="93"/>
  <c r="AJ40" i="93"/>
  <c r="BF40" i="93"/>
  <c r="AX40" i="93"/>
  <c r="AP40" i="93"/>
  <c r="BM40" i="93"/>
  <c r="BE40" i="93"/>
  <c r="AW40" i="93"/>
  <c r="AO40" i="93"/>
  <c r="BI40" i="93"/>
  <c r="BG40" i="93"/>
  <c r="BA40" i="93"/>
  <c r="AY40" i="93"/>
  <c r="AS40" i="93"/>
  <c r="AQ40" i="93"/>
  <c r="AK40" i="93"/>
  <c r="DC41" i="92"/>
  <c r="CU41" i="92"/>
  <c r="CM41" i="92"/>
  <c r="CE41" i="92"/>
  <c r="DB41" i="92"/>
  <c r="CT41" i="92"/>
  <c r="CL41" i="92"/>
  <c r="CD41" i="92"/>
  <c r="DA41" i="92"/>
  <c r="CS41" i="92"/>
  <c r="CK41" i="92"/>
  <c r="CC41" i="92"/>
  <c r="CZ41" i="92"/>
  <c r="CR41" i="92"/>
  <c r="CJ41" i="92"/>
  <c r="CB41" i="92"/>
  <c r="CX41" i="92"/>
  <c r="CP41" i="92"/>
  <c r="CH41" i="92"/>
  <c r="CW41" i="92"/>
  <c r="CO41" i="92"/>
  <c r="CG41" i="92"/>
  <c r="DD41" i="92"/>
  <c r="CV41" i="92"/>
  <c r="CN41" i="92"/>
  <c r="CF41" i="92"/>
  <c r="CY41" i="92"/>
  <c r="CQ41" i="92"/>
  <c r="CI41" i="92"/>
  <c r="CA41" i="92"/>
  <c r="BK41" i="92"/>
  <c r="BC41" i="92"/>
  <c r="AU41" i="92"/>
  <c r="AM41" i="92"/>
  <c r="BJ41" i="92"/>
  <c r="BB41" i="92"/>
  <c r="AT41" i="92"/>
  <c r="AL41" i="92"/>
  <c r="BI41" i="92"/>
  <c r="BA41" i="92"/>
  <c r="AS41" i="92"/>
  <c r="AK41" i="92"/>
  <c r="BH41" i="92"/>
  <c r="AZ41" i="92"/>
  <c r="AR41" i="92"/>
  <c r="AJ41" i="92"/>
  <c r="BG41" i="92"/>
  <c r="AY41" i="92"/>
  <c r="AQ41" i="92"/>
  <c r="BF41" i="92"/>
  <c r="AX41" i="92"/>
  <c r="AP41" i="92"/>
  <c r="BM41" i="92"/>
  <c r="BE41" i="92"/>
  <c r="AW41" i="92"/>
  <c r="AO41" i="92"/>
  <c r="BL41" i="92"/>
  <c r="BD41" i="92"/>
  <c r="AV41" i="92"/>
  <c r="AN41" i="92"/>
  <c r="BN40" i="92"/>
  <c r="BO40" i="92"/>
  <c r="CW41" i="90"/>
  <c r="CO41" i="90"/>
  <c r="CG41" i="90"/>
  <c r="DD41" i="90"/>
  <c r="CV41" i="90"/>
  <c r="CN41" i="90"/>
  <c r="CE41" i="90"/>
  <c r="DC41" i="90"/>
  <c r="CU41" i="90"/>
  <c r="CM41" i="90"/>
  <c r="CD41" i="90"/>
  <c r="DB41" i="90"/>
  <c r="CT41" i="90"/>
  <c r="CL41" i="90"/>
  <c r="CC41" i="90"/>
  <c r="DA41" i="90"/>
  <c r="CS41" i="90"/>
  <c r="CK41" i="90"/>
  <c r="CB41" i="90"/>
  <c r="CZ41" i="90"/>
  <c r="CR41" i="90"/>
  <c r="CJ41" i="90"/>
  <c r="CA41" i="90"/>
  <c r="CX41" i="90"/>
  <c r="CQ41" i="90"/>
  <c r="CP41" i="90"/>
  <c r="CI41" i="90"/>
  <c r="CH41" i="90"/>
  <c r="CY41" i="90"/>
  <c r="BH41" i="90"/>
  <c r="AZ41" i="90"/>
  <c r="AR41" i="90"/>
  <c r="BI41" i="90"/>
  <c r="BA41" i="90"/>
  <c r="AS41" i="90"/>
  <c r="AJ41" i="90"/>
  <c r="BG41" i="90"/>
  <c r="AY41" i="90"/>
  <c r="AQ41" i="90"/>
  <c r="BF41" i="90"/>
  <c r="AX41" i="90"/>
  <c r="AP41" i="90"/>
  <c r="BM41" i="90"/>
  <c r="BE41" i="90"/>
  <c r="AW41" i="90"/>
  <c r="AN41" i="90"/>
  <c r="BL41" i="90"/>
  <c r="BD41" i="90"/>
  <c r="AV41" i="90"/>
  <c r="AM41" i="90"/>
  <c r="BK41" i="90"/>
  <c r="BC41" i="90"/>
  <c r="AU41" i="90"/>
  <c r="AL41" i="90"/>
  <c r="BJ41" i="90"/>
  <c r="BB41" i="90"/>
  <c r="AT41" i="90"/>
  <c r="AK41" i="90"/>
  <c r="AO41" i="90"/>
  <c r="CF41" i="90"/>
  <c r="CB40" i="88"/>
  <c r="CK40" i="88"/>
  <c r="CT40" i="88"/>
  <c r="DB40" i="88"/>
  <c r="CC40" i="88"/>
  <c r="CL40" i="88"/>
  <c r="CU40" i="88"/>
  <c r="DC40" i="88"/>
  <c r="CE40" i="88"/>
  <c r="CM40" i="88"/>
  <c r="CV40" i="88"/>
  <c r="DD40" i="88"/>
  <c r="CF40" i="88"/>
  <c r="CN40" i="88"/>
  <c r="CW40" i="88"/>
  <c r="CG40" i="88"/>
  <c r="CO40" i="88"/>
  <c r="CX40" i="88"/>
  <c r="CH40" i="88"/>
  <c r="CP40" i="88"/>
  <c r="CY40" i="88"/>
  <c r="CI40" i="88"/>
  <c r="CQ40" i="88"/>
  <c r="CZ40" i="88"/>
  <c r="CA40" i="88"/>
  <c r="CJ40" i="88"/>
  <c r="CR40" i="88"/>
  <c r="DA40" i="88"/>
  <c r="AQ40" i="88"/>
  <c r="AY40" i="88"/>
  <c r="BH40" i="88"/>
  <c r="AR40" i="88"/>
  <c r="AZ40" i="88"/>
  <c r="BI40" i="88"/>
  <c r="AJ40" i="88"/>
  <c r="AS40" i="88"/>
  <c r="BA40" i="88"/>
  <c r="BJ40" i="88"/>
  <c r="AK40" i="88"/>
  <c r="AT40" i="88"/>
  <c r="BC40" i="88"/>
  <c r="BK40" i="88"/>
  <c r="AL40" i="88"/>
  <c r="AU40" i="88"/>
  <c r="BD40" i="88"/>
  <c r="BL40" i="88"/>
  <c r="AW40" i="88"/>
  <c r="AX40" i="88"/>
  <c r="BE40" i="88"/>
  <c r="AN40" i="88"/>
  <c r="BG40" i="88"/>
  <c r="AP40" i="88"/>
  <c r="AV40" i="88"/>
  <c r="BF40" i="88"/>
  <c r="BM40" i="88"/>
  <c r="AO40" i="88"/>
  <c r="CS40" i="88"/>
  <c r="AM40" i="88"/>
  <c r="BB40" i="88"/>
  <c r="CD40" i="88"/>
  <c r="DD41" i="87"/>
  <c r="CV41" i="87"/>
  <c r="CN41" i="87"/>
  <c r="CF41" i="87"/>
  <c r="DC41" i="87"/>
  <c r="CU41" i="87"/>
  <c r="CM41" i="87"/>
  <c r="CE41" i="87"/>
  <c r="DB41" i="87"/>
  <c r="CT41" i="87"/>
  <c r="CL41" i="87"/>
  <c r="CD41" i="87"/>
  <c r="DA41" i="87"/>
  <c r="CS41" i="87"/>
  <c r="CK41" i="87"/>
  <c r="CC41" i="87"/>
  <c r="CZ41" i="87"/>
  <c r="CR41" i="87"/>
  <c r="CJ41" i="87"/>
  <c r="CY41" i="87"/>
  <c r="CQ41" i="87"/>
  <c r="CI41" i="87"/>
  <c r="CA41" i="87"/>
  <c r="CX41" i="87"/>
  <c r="CP41" i="87"/>
  <c r="CH41" i="87"/>
  <c r="CW41" i="87"/>
  <c r="CO41" i="87"/>
  <c r="CG41" i="87"/>
  <c r="BM41" i="87"/>
  <c r="BE41" i="87"/>
  <c r="AW41" i="87"/>
  <c r="AO41" i="87"/>
  <c r="BL41" i="87"/>
  <c r="BD41" i="87"/>
  <c r="AV41" i="87"/>
  <c r="AN41" i="87"/>
  <c r="BK41" i="87"/>
  <c r="BC41" i="87"/>
  <c r="AU41" i="87"/>
  <c r="AM41" i="87"/>
  <c r="BJ41" i="87"/>
  <c r="BB41" i="87"/>
  <c r="AT41" i="87"/>
  <c r="AL41" i="87"/>
  <c r="BI41" i="87"/>
  <c r="BA41" i="87"/>
  <c r="AS41" i="87"/>
  <c r="BH41" i="87"/>
  <c r="AZ41" i="87"/>
  <c r="AR41" i="87"/>
  <c r="AJ41" i="87"/>
  <c r="BG41" i="87"/>
  <c r="AY41" i="87"/>
  <c r="AQ41" i="87"/>
  <c r="AP41" i="87"/>
  <c r="BF41" i="87"/>
  <c r="AX41" i="87"/>
  <c r="AP40" i="83"/>
  <c r="AX40" i="83"/>
  <c r="BF40" i="83"/>
  <c r="CE40" i="83"/>
  <c r="CM40" i="83"/>
  <c r="CU40" i="83"/>
  <c r="DC40" i="83"/>
  <c r="CO40" i="83"/>
  <c r="CY40" i="83"/>
  <c r="AQ40" i="83"/>
  <c r="AY40" i="83"/>
  <c r="BG40" i="83"/>
  <c r="CF40" i="83"/>
  <c r="CN40" i="83"/>
  <c r="CV40" i="83"/>
  <c r="DD40" i="83"/>
  <c r="CG40" i="83"/>
  <c r="CW40" i="83"/>
  <c r="CA40" i="83"/>
  <c r="AJ40" i="83"/>
  <c r="AR40" i="83"/>
  <c r="AZ40" i="83"/>
  <c r="BH40" i="83"/>
  <c r="CQ40" i="83"/>
  <c r="AK40" i="83"/>
  <c r="AS40" i="83"/>
  <c r="BA40" i="83"/>
  <c r="BI40" i="83"/>
  <c r="CH40" i="83"/>
  <c r="CP40" i="83"/>
  <c r="CX40" i="83"/>
  <c r="CI40" i="83"/>
  <c r="AL40" i="83"/>
  <c r="AT40" i="83"/>
  <c r="BB40" i="83"/>
  <c r="BJ40" i="83"/>
  <c r="BD40" i="83"/>
  <c r="CB40" i="83"/>
  <c r="CT40" i="83"/>
  <c r="CC40" i="83"/>
  <c r="AM40" i="83"/>
  <c r="BE40" i="83"/>
  <c r="CZ40" i="83"/>
  <c r="CR40" i="83"/>
  <c r="AN40" i="83"/>
  <c r="BK40" i="83"/>
  <c r="CD40" i="83"/>
  <c r="DA40" i="83"/>
  <c r="AO40" i="83"/>
  <c r="BL40" i="83"/>
  <c r="CJ40" i="83"/>
  <c r="DB40" i="83"/>
  <c r="AU40" i="83"/>
  <c r="BM40" i="83"/>
  <c r="CK40" i="83"/>
  <c r="AV40" i="83"/>
  <c r="CL40" i="83"/>
  <c r="CS40" i="83"/>
  <c r="AW40" i="83"/>
  <c r="BC40" i="83"/>
  <c r="CY41" i="86"/>
  <c r="CQ41" i="86"/>
  <c r="CI41" i="86"/>
  <c r="CA41" i="86"/>
  <c r="CX41" i="86"/>
  <c r="CP41" i="86"/>
  <c r="CH41" i="86"/>
  <c r="CW41" i="86"/>
  <c r="CO41" i="86"/>
  <c r="CG41" i="86"/>
  <c r="DD41" i="86"/>
  <c r="CV41" i="86"/>
  <c r="CN41" i="86"/>
  <c r="CF41" i="86"/>
  <c r="DC41" i="86"/>
  <c r="CU41" i="86"/>
  <c r="CM41" i="86"/>
  <c r="CE41" i="86"/>
  <c r="DB41" i="86"/>
  <c r="CT41" i="86"/>
  <c r="CL41" i="86"/>
  <c r="CD41" i="86"/>
  <c r="DA41" i="86"/>
  <c r="CS41" i="86"/>
  <c r="CK41" i="86"/>
  <c r="CC41" i="86"/>
  <c r="CZ41" i="86"/>
  <c r="CR41" i="86"/>
  <c r="CJ41" i="86"/>
  <c r="CB41" i="86"/>
  <c r="BM41" i="86"/>
  <c r="BE41" i="86"/>
  <c r="AW41" i="86"/>
  <c r="AO41" i="86"/>
  <c r="BL41" i="86"/>
  <c r="BD41" i="86"/>
  <c r="AV41" i="86"/>
  <c r="AN41" i="86"/>
  <c r="BK41" i="86"/>
  <c r="BC41" i="86"/>
  <c r="AU41" i="86"/>
  <c r="AM41" i="86"/>
  <c r="BH41" i="86"/>
  <c r="AT41" i="86"/>
  <c r="BG41" i="86"/>
  <c r="AS41" i="86"/>
  <c r="BF41" i="86"/>
  <c r="AR41" i="86"/>
  <c r="BB41" i="86"/>
  <c r="AQ41" i="86"/>
  <c r="BA41" i="86"/>
  <c r="AP41" i="86"/>
  <c r="AZ41" i="86"/>
  <c r="AL41" i="86"/>
  <c r="BJ41" i="86"/>
  <c r="AY41" i="86"/>
  <c r="AK41" i="86"/>
  <c r="BI41" i="86"/>
  <c r="AX41" i="86"/>
  <c r="AJ41" i="86"/>
  <c r="CZ40" i="84"/>
  <c r="CR40" i="84"/>
  <c r="CJ40" i="84"/>
  <c r="CB40" i="84"/>
  <c r="CY40" i="84"/>
  <c r="CQ40" i="84"/>
  <c r="CI40" i="84"/>
  <c r="CA40" i="84"/>
  <c r="DA40" i="84"/>
  <c r="CO40" i="84"/>
  <c r="CE40" i="84"/>
  <c r="CW40" i="84"/>
  <c r="CM40" i="84"/>
  <c r="CC40" i="84"/>
  <c r="CV40" i="84"/>
  <c r="CL40" i="84"/>
  <c r="CU40" i="84"/>
  <c r="CK40" i="84"/>
  <c r="CS40" i="84"/>
  <c r="CP40" i="84"/>
  <c r="CN40" i="84"/>
  <c r="DD40" i="84"/>
  <c r="CH40" i="84"/>
  <c r="DC40" i="84"/>
  <c r="CG40" i="84"/>
  <c r="DB40" i="84"/>
  <c r="CX40" i="84"/>
  <c r="CT40" i="84"/>
  <c r="CF40" i="84"/>
  <c r="CD40" i="84"/>
  <c r="BJ40" i="84"/>
  <c r="BB40" i="84"/>
  <c r="AT40" i="84"/>
  <c r="AL40" i="84"/>
  <c r="BM40" i="84"/>
  <c r="BD40" i="84"/>
  <c r="AU40" i="84"/>
  <c r="AK40" i="84"/>
  <c r="BL40" i="84"/>
  <c r="BC40" i="84"/>
  <c r="AS40" i="84"/>
  <c r="AJ40" i="84"/>
  <c r="BK40" i="84"/>
  <c r="BA40" i="84"/>
  <c r="AR40" i="84"/>
  <c r="BI40" i="84"/>
  <c r="AZ40" i="84"/>
  <c r="AQ40" i="84"/>
  <c r="BH40" i="84"/>
  <c r="AY40" i="84"/>
  <c r="AP40" i="84"/>
  <c r="BG40" i="84"/>
  <c r="AX40" i="84"/>
  <c r="AO40" i="84"/>
  <c r="BF40" i="84"/>
  <c r="AW40" i="84"/>
  <c r="AN40" i="84"/>
  <c r="BE40" i="84"/>
  <c r="AV40" i="84"/>
  <c r="AM40" i="84"/>
  <c r="CX40" i="85"/>
  <c r="CP40" i="85"/>
  <c r="CH40" i="85"/>
  <c r="CW40" i="85"/>
  <c r="CO40" i="85"/>
  <c r="CG40" i="85"/>
  <c r="DD40" i="85"/>
  <c r="CV40" i="85"/>
  <c r="CN40" i="85"/>
  <c r="CF40" i="85"/>
  <c r="DC40" i="85"/>
  <c r="CU40" i="85"/>
  <c r="CM40" i="85"/>
  <c r="CE40" i="85"/>
  <c r="DB40" i="85"/>
  <c r="CT40" i="85"/>
  <c r="CL40" i="85"/>
  <c r="CD40" i="85"/>
  <c r="DA40" i="85"/>
  <c r="CS40" i="85"/>
  <c r="CK40" i="85"/>
  <c r="CB40" i="85"/>
  <c r="CZ40" i="85"/>
  <c r="CY40" i="85"/>
  <c r="CR40" i="85"/>
  <c r="CQ40" i="85"/>
  <c r="CJ40" i="85"/>
  <c r="CI40" i="85"/>
  <c r="CA40" i="85"/>
  <c r="BJ40" i="85"/>
  <c r="BB40" i="85"/>
  <c r="AT40" i="85"/>
  <c r="AK40" i="85"/>
  <c r="BI40" i="85"/>
  <c r="BA40" i="85"/>
  <c r="AS40" i="85"/>
  <c r="AJ40" i="85"/>
  <c r="BH40" i="85"/>
  <c r="AZ40" i="85"/>
  <c r="AR40" i="85"/>
  <c r="BG40" i="85"/>
  <c r="AY40" i="85"/>
  <c r="AQ40" i="85"/>
  <c r="BF40" i="85"/>
  <c r="AX40" i="85"/>
  <c r="AP40" i="85"/>
  <c r="BM40" i="85"/>
  <c r="BE40" i="85"/>
  <c r="AW40" i="85"/>
  <c r="AO40" i="85"/>
  <c r="AM40" i="85"/>
  <c r="BL40" i="85"/>
  <c r="BK40" i="85"/>
  <c r="BD40" i="85"/>
  <c r="BC40" i="85"/>
  <c r="AV40" i="85"/>
  <c r="AU40" i="85"/>
  <c r="AN40" i="85"/>
  <c r="AL40" i="85"/>
  <c r="B24" i="95"/>
  <c r="BF35" i="43"/>
  <c r="P34" i="43"/>
  <c r="A24" i="47" s="1"/>
  <c r="AR34" i="43"/>
  <c r="A24" i="48" s="1"/>
  <c r="AD34" i="43"/>
  <c r="A24" i="49" s="1"/>
  <c r="B35" i="43"/>
  <c r="A25" i="46" s="1"/>
  <c r="BN39" i="93"/>
  <c r="X28" i="23"/>
  <c r="AD28" i="24" s="1"/>
  <c r="T28" i="23"/>
  <c r="Y28" i="24" s="1"/>
  <c r="DE40" i="86"/>
  <c r="L40" i="86" s="1"/>
  <c r="P27" i="23"/>
  <c r="T27" i="24" s="1"/>
  <c r="BN39" i="83"/>
  <c r="K39" i="83" s="1"/>
  <c r="BN39" i="84"/>
  <c r="K40" i="92"/>
  <c r="BN40" i="90"/>
  <c r="K40" i="90" s="1"/>
  <c r="BN40" i="87"/>
  <c r="K40" i="87" s="1"/>
  <c r="BN40" i="86"/>
  <c r="K40" i="86" s="1"/>
  <c r="AD27" i="25"/>
  <c r="AV27" i="23"/>
  <c r="Z29" i="25"/>
  <c r="AS29" i="23"/>
  <c r="B41" i="93"/>
  <c r="A42" i="93"/>
  <c r="D40" i="93"/>
  <c r="AA28" i="25"/>
  <c r="AT28" i="23"/>
  <c r="AO30" i="23"/>
  <c r="U30" i="25"/>
  <c r="P30" i="25"/>
  <c r="AK30" i="23"/>
  <c r="F29" i="25"/>
  <c r="AC29" i="23"/>
  <c r="U30" i="23"/>
  <c r="Z30" i="24"/>
  <c r="Q30" i="23"/>
  <c r="U30" i="24"/>
  <c r="P29" i="24"/>
  <c r="M29" i="23"/>
  <c r="A42" i="85"/>
  <c r="B41" i="85"/>
  <c r="Q28" i="24"/>
  <c r="N28" i="23"/>
  <c r="D40" i="85"/>
  <c r="K29" i="24"/>
  <c r="I29" i="23"/>
  <c r="E29" i="23"/>
  <c r="F29" i="24"/>
  <c r="V29" i="24"/>
  <c r="R29" i="23"/>
  <c r="L28" i="24"/>
  <c r="J28" i="23"/>
  <c r="F28" i="23"/>
  <c r="G28" i="24"/>
  <c r="T28" i="25"/>
  <c r="AN28" i="23"/>
  <c r="Q29" i="25"/>
  <c r="AL29" i="23"/>
  <c r="AR28" i="23"/>
  <c r="Y28" i="25"/>
  <c r="AP29" i="23"/>
  <c r="V29" i="25"/>
  <c r="V29" i="23"/>
  <c r="AA29" i="24"/>
  <c r="AD28" i="23"/>
  <c r="G28" i="25"/>
  <c r="J27" i="25"/>
  <c r="AF27" i="23"/>
  <c r="K30" i="25"/>
  <c r="AG30" i="23"/>
  <c r="AH29" i="23"/>
  <c r="L29" i="25"/>
  <c r="O28" i="25"/>
  <c r="AJ28" i="23"/>
  <c r="Z28" i="23"/>
  <c r="B28" i="25"/>
  <c r="E27" i="25"/>
  <c r="AB27" i="23"/>
  <c r="Y29" i="23"/>
  <c r="A29" i="25"/>
  <c r="C17" i="82"/>
  <c r="B18" i="82" s="1"/>
  <c r="A9" i="94"/>
  <c r="D41" i="92"/>
  <c r="B42" i="92"/>
  <c r="A43" i="92"/>
  <c r="B42" i="91"/>
  <c r="A43" i="91"/>
  <c r="D41" i="91"/>
  <c r="B42" i="90"/>
  <c r="A43" i="90"/>
  <c r="D41" i="90"/>
  <c r="B41" i="89"/>
  <c r="A42" i="89"/>
  <c r="D40" i="89"/>
  <c r="B41" i="88"/>
  <c r="A42" i="88"/>
  <c r="D40" i="88"/>
  <c r="B42" i="87"/>
  <c r="A43" i="87"/>
  <c r="D41" i="87"/>
  <c r="B42" i="86"/>
  <c r="A43" i="86"/>
  <c r="D41" i="86"/>
  <c r="D40" i="84"/>
  <c r="L28" i="23" s="1"/>
  <c r="O28" i="24" s="1"/>
  <c r="A42" i="84"/>
  <c r="B41" i="84"/>
  <c r="H15" i="50"/>
  <c r="H40" i="50" s="1"/>
  <c r="BO39" i="83"/>
  <c r="D40" i="83"/>
  <c r="H28" i="23" s="1"/>
  <c r="J28" i="24" s="1"/>
  <c r="A42" i="83"/>
  <c r="B41" i="83"/>
  <c r="F47" i="50"/>
  <c r="H16" i="50"/>
  <c r="H47" i="50" s="1"/>
  <c r="CZ42" i="90" l="1"/>
  <c r="CR42" i="90"/>
  <c r="CJ42" i="90"/>
  <c r="CA42" i="90"/>
  <c r="CY42" i="90"/>
  <c r="CQ42" i="90"/>
  <c r="CI42" i="90"/>
  <c r="CX42" i="90"/>
  <c r="CP42" i="90"/>
  <c r="CH42" i="90"/>
  <c r="CW42" i="90"/>
  <c r="CO42" i="90"/>
  <c r="CF42" i="90"/>
  <c r="DD42" i="90"/>
  <c r="CV42" i="90"/>
  <c r="CN42" i="90"/>
  <c r="CE42" i="90"/>
  <c r="DC42" i="90"/>
  <c r="CU42" i="90"/>
  <c r="CM42" i="90"/>
  <c r="CD42" i="90"/>
  <c r="DA42" i="90"/>
  <c r="CT42" i="90"/>
  <c r="CS42" i="90"/>
  <c r="CL42" i="90"/>
  <c r="CK42" i="90"/>
  <c r="CC42" i="90"/>
  <c r="CB42" i="90"/>
  <c r="DB42" i="90"/>
  <c r="BK42" i="90"/>
  <c r="BC42" i="90"/>
  <c r="AU42" i="90"/>
  <c r="AL42" i="90"/>
  <c r="BD42" i="90"/>
  <c r="AV42" i="90"/>
  <c r="AM42" i="90"/>
  <c r="BJ42" i="90"/>
  <c r="BB42" i="90"/>
  <c r="AT42" i="90"/>
  <c r="AK42" i="90"/>
  <c r="BL42" i="90"/>
  <c r="BI42" i="90"/>
  <c r="BA42" i="90"/>
  <c r="AS42" i="90"/>
  <c r="AJ42" i="90"/>
  <c r="BH42" i="90"/>
  <c r="AZ42" i="90"/>
  <c r="AR42" i="90"/>
  <c r="BG42" i="90"/>
  <c r="AY42" i="90"/>
  <c r="AQ42" i="90"/>
  <c r="BF42" i="90"/>
  <c r="AX42" i="90"/>
  <c r="AO42" i="90"/>
  <c r="BM42" i="90"/>
  <c r="BE42" i="90"/>
  <c r="AW42" i="90"/>
  <c r="AN42" i="90"/>
  <c r="CG42" i="90"/>
  <c r="AP42" i="90"/>
  <c r="BN41" i="92"/>
  <c r="BO41" i="92"/>
  <c r="CF41" i="88"/>
  <c r="CN41" i="88"/>
  <c r="CV41" i="88"/>
  <c r="DD41" i="88"/>
  <c r="CG41" i="88"/>
  <c r="CO41" i="88"/>
  <c r="CW41" i="88"/>
  <c r="CH41" i="88"/>
  <c r="CP41" i="88"/>
  <c r="CX41" i="88"/>
  <c r="CA41" i="88"/>
  <c r="CI41" i="88"/>
  <c r="CQ41" i="88"/>
  <c r="CY41" i="88"/>
  <c r="CB41" i="88"/>
  <c r="CJ41" i="88"/>
  <c r="CR41" i="88"/>
  <c r="CZ41" i="88"/>
  <c r="CC41" i="88"/>
  <c r="CK41" i="88"/>
  <c r="CS41" i="88"/>
  <c r="DA41" i="88"/>
  <c r="CD41" i="88"/>
  <c r="CL41" i="88"/>
  <c r="CT41" i="88"/>
  <c r="DB41" i="88"/>
  <c r="CE41" i="88"/>
  <c r="CM41" i="88"/>
  <c r="CU41" i="88"/>
  <c r="DC41" i="88"/>
  <c r="AL41" i="88"/>
  <c r="AT41" i="88"/>
  <c r="BB41" i="88"/>
  <c r="BJ41" i="88"/>
  <c r="AM41" i="88"/>
  <c r="AU41" i="88"/>
  <c r="BC41" i="88"/>
  <c r="BK41" i="88"/>
  <c r="AN41" i="88"/>
  <c r="AV41" i="88"/>
  <c r="BD41" i="88"/>
  <c r="BL41" i="88"/>
  <c r="AO41" i="88"/>
  <c r="AW41" i="88"/>
  <c r="BE41" i="88"/>
  <c r="BM41" i="88"/>
  <c r="AP41" i="88"/>
  <c r="AX41" i="88"/>
  <c r="BF41" i="88"/>
  <c r="AQ41" i="88"/>
  <c r="BI41" i="88"/>
  <c r="AR41" i="88"/>
  <c r="AS41" i="88"/>
  <c r="AZ41" i="88"/>
  <c r="AJ41" i="88"/>
  <c r="BG41" i="88"/>
  <c r="AK41" i="88"/>
  <c r="BH41" i="88"/>
  <c r="AY41" i="88"/>
  <c r="BA41" i="88"/>
  <c r="CW41" i="93"/>
  <c r="CO41" i="93"/>
  <c r="CG41" i="93"/>
  <c r="DD41" i="93"/>
  <c r="CV41" i="93"/>
  <c r="CN41" i="93"/>
  <c r="CF41" i="93"/>
  <c r="DC41" i="93"/>
  <c r="CU41" i="93"/>
  <c r="CM41" i="93"/>
  <c r="CE41" i="93"/>
  <c r="DB41" i="93"/>
  <c r="CT41" i="93"/>
  <c r="CL41" i="93"/>
  <c r="CD41" i="93"/>
  <c r="DA41" i="93"/>
  <c r="CS41" i="93"/>
  <c r="CK41" i="93"/>
  <c r="CC41" i="93"/>
  <c r="CR41" i="93"/>
  <c r="CQ41" i="93"/>
  <c r="CP41" i="93"/>
  <c r="CJ41" i="93"/>
  <c r="CI41" i="93"/>
  <c r="CZ41" i="93"/>
  <c r="CH41" i="93"/>
  <c r="CY41" i="93"/>
  <c r="CB41" i="93"/>
  <c r="CX41" i="93"/>
  <c r="CA41" i="93"/>
  <c r="BF41" i="93"/>
  <c r="AX41" i="93"/>
  <c r="AP41" i="93"/>
  <c r="BM41" i="93"/>
  <c r="BE41" i="93"/>
  <c r="AW41" i="93"/>
  <c r="AO41" i="93"/>
  <c r="BL41" i="93"/>
  <c r="BD41" i="93"/>
  <c r="AV41" i="93"/>
  <c r="AN41" i="93"/>
  <c r="BJ41" i="93"/>
  <c r="BB41" i="93"/>
  <c r="AT41" i="93"/>
  <c r="AL41" i="93"/>
  <c r="BH41" i="93"/>
  <c r="AZ41" i="93"/>
  <c r="AR41" i="93"/>
  <c r="AJ41" i="93"/>
  <c r="BG41" i="93"/>
  <c r="AY41" i="93"/>
  <c r="AQ41" i="93"/>
  <c r="BK41" i="93"/>
  <c r="BI41" i="93"/>
  <c r="BC41" i="93"/>
  <c r="BA41" i="93"/>
  <c r="AU41" i="93"/>
  <c r="AS41" i="93"/>
  <c r="AM41" i="93"/>
  <c r="AK41" i="93"/>
  <c r="BL42" i="91"/>
  <c r="BD42" i="91"/>
  <c r="AV42" i="91"/>
  <c r="AM42" i="91"/>
  <c r="BK42" i="91"/>
  <c r="BC42" i="91"/>
  <c r="AU42" i="91"/>
  <c r="AL42" i="91"/>
  <c r="BJ42" i="91"/>
  <c r="BB42" i="91"/>
  <c r="AT42" i="91"/>
  <c r="AK42" i="91"/>
  <c r="BI42" i="91"/>
  <c r="BA42" i="91"/>
  <c r="AS42" i="91"/>
  <c r="AJ42" i="91"/>
  <c r="BH42" i="91"/>
  <c r="AZ42" i="91"/>
  <c r="AQ42" i="91"/>
  <c r="BG42" i="91"/>
  <c r="AY42" i="91"/>
  <c r="AP42" i="91"/>
  <c r="BF42" i="91"/>
  <c r="AX42" i="91"/>
  <c r="AO42" i="91"/>
  <c r="BM42" i="91"/>
  <c r="BE42" i="91"/>
  <c r="AW42" i="91"/>
  <c r="AN42" i="91"/>
  <c r="DD42" i="91"/>
  <c r="CV42" i="91"/>
  <c r="CN42" i="91"/>
  <c r="CE42" i="91"/>
  <c r="DC42" i="91"/>
  <c r="CU42" i="91"/>
  <c r="CM42" i="91"/>
  <c r="CD42" i="91"/>
  <c r="DB42" i="91"/>
  <c r="CT42" i="91"/>
  <c r="CL42" i="91"/>
  <c r="CC42" i="91"/>
  <c r="DA42" i="91"/>
  <c r="CS42" i="91"/>
  <c r="CK42" i="91"/>
  <c r="CB42" i="91"/>
  <c r="CZ42" i="91"/>
  <c r="CR42" i="91"/>
  <c r="CJ42" i="91"/>
  <c r="CA42" i="91"/>
  <c r="CY42" i="91"/>
  <c r="CF42" i="91"/>
  <c r="CX42" i="91"/>
  <c r="CQ42" i="91"/>
  <c r="CP42" i="91"/>
  <c r="CO42" i="91"/>
  <c r="CH42" i="91"/>
  <c r="CG42" i="91"/>
  <c r="CW42" i="91"/>
  <c r="AR42" i="91"/>
  <c r="CI42" i="91"/>
  <c r="CX42" i="87"/>
  <c r="CP42" i="87"/>
  <c r="CH42" i="87"/>
  <c r="CW42" i="87"/>
  <c r="CO42" i="87"/>
  <c r="CG42" i="87"/>
  <c r="DD42" i="87"/>
  <c r="CV42" i="87"/>
  <c r="CN42" i="87"/>
  <c r="CF42" i="87"/>
  <c r="DC42" i="87"/>
  <c r="CU42" i="87"/>
  <c r="CM42" i="87"/>
  <c r="CE42" i="87"/>
  <c r="DB42" i="87"/>
  <c r="CT42" i="87"/>
  <c r="CL42" i="87"/>
  <c r="CD42" i="87"/>
  <c r="DA42" i="87"/>
  <c r="CS42" i="87"/>
  <c r="CK42" i="87"/>
  <c r="CZ42" i="87"/>
  <c r="CR42" i="87"/>
  <c r="CJ42" i="87"/>
  <c r="CB42" i="87"/>
  <c r="CY42" i="87"/>
  <c r="CQ42" i="87"/>
  <c r="CI42" i="87"/>
  <c r="CA42" i="87"/>
  <c r="BG42" i="87"/>
  <c r="AY42" i="87"/>
  <c r="AQ42" i="87"/>
  <c r="BF42" i="87"/>
  <c r="AX42" i="87"/>
  <c r="AP42" i="87"/>
  <c r="BM42" i="87"/>
  <c r="BE42" i="87"/>
  <c r="AW42" i="87"/>
  <c r="AO42" i="87"/>
  <c r="BL42" i="87"/>
  <c r="BD42" i="87"/>
  <c r="AV42" i="87"/>
  <c r="AN42" i="87"/>
  <c r="BK42" i="87"/>
  <c r="BC42" i="87"/>
  <c r="AU42" i="87"/>
  <c r="AM42" i="87"/>
  <c r="BJ42" i="87"/>
  <c r="BB42" i="87"/>
  <c r="AT42" i="87"/>
  <c r="AL42" i="87"/>
  <c r="BI42" i="87"/>
  <c r="BA42" i="87"/>
  <c r="AS42" i="87"/>
  <c r="AK42" i="87"/>
  <c r="BH42" i="87"/>
  <c r="AZ42" i="87"/>
  <c r="AR42" i="87"/>
  <c r="AJ42" i="87"/>
  <c r="CY41" i="89"/>
  <c r="CQ41" i="89"/>
  <c r="CI41" i="89"/>
  <c r="CA41" i="89"/>
  <c r="CX41" i="89"/>
  <c r="CP41" i="89"/>
  <c r="CH41" i="89"/>
  <c r="DB41" i="89"/>
  <c r="CT41" i="89"/>
  <c r="CL41" i="89"/>
  <c r="CD41" i="89"/>
  <c r="DD41" i="89"/>
  <c r="CR41" i="89"/>
  <c r="CE41" i="89"/>
  <c r="DC41" i="89"/>
  <c r="CO41" i="89"/>
  <c r="CC41" i="89"/>
  <c r="DA41" i="89"/>
  <c r="CN41" i="89"/>
  <c r="CB41" i="89"/>
  <c r="CZ41" i="89"/>
  <c r="CM41" i="89"/>
  <c r="CV41" i="89"/>
  <c r="CJ41" i="89"/>
  <c r="CU41" i="89"/>
  <c r="CG41" i="89"/>
  <c r="CS41" i="89"/>
  <c r="CF41" i="89"/>
  <c r="CW41" i="89"/>
  <c r="CK41" i="89"/>
  <c r="BF41" i="89"/>
  <c r="AX41" i="89"/>
  <c r="AP41" i="89"/>
  <c r="BM41" i="89"/>
  <c r="BE41" i="89"/>
  <c r="AW41" i="89"/>
  <c r="AO41" i="89"/>
  <c r="BL41" i="89"/>
  <c r="BD41" i="89"/>
  <c r="AV41" i="89"/>
  <c r="AN41" i="89"/>
  <c r="BJ41" i="89"/>
  <c r="BB41" i="89"/>
  <c r="AT41" i="89"/>
  <c r="AL41" i="89"/>
  <c r="BH41" i="89"/>
  <c r="AZ41" i="89"/>
  <c r="AR41" i="89"/>
  <c r="AJ41" i="89"/>
  <c r="BG41" i="89"/>
  <c r="AY41" i="89"/>
  <c r="AQ41" i="89"/>
  <c r="BK41" i="89"/>
  <c r="BI41" i="89"/>
  <c r="BC41" i="89"/>
  <c r="BA41" i="89"/>
  <c r="AU41" i="89"/>
  <c r="AS41" i="89"/>
  <c r="AM41" i="89"/>
  <c r="AK41" i="89"/>
  <c r="CW42" i="92"/>
  <c r="CO42" i="92"/>
  <c r="CG42" i="92"/>
  <c r="DD42" i="92"/>
  <c r="CV42" i="92"/>
  <c r="CN42" i="92"/>
  <c r="CF42" i="92"/>
  <c r="DC42" i="92"/>
  <c r="CU42" i="92"/>
  <c r="CM42" i="92"/>
  <c r="CE42" i="92"/>
  <c r="DB42" i="92"/>
  <c r="CT42" i="92"/>
  <c r="CL42" i="92"/>
  <c r="CD42" i="92"/>
  <c r="CZ42" i="92"/>
  <c r="CR42" i="92"/>
  <c r="CJ42" i="92"/>
  <c r="CB42" i="92"/>
  <c r="CY42" i="92"/>
  <c r="CQ42" i="92"/>
  <c r="CI42" i="92"/>
  <c r="CA42" i="92"/>
  <c r="CX42" i="92"/>
  <c r="CP42" i="92"/>
  <c r="CH42" i="92"/>
  <c r="DA42" i="92"/>
  <c r="CS42" i="92"/>
  <c r="CK42" i="92"/>
  <c r="CC42" i="92"/>
  <c r="BM42" i="92"/>
  <c r="BE42" i="92"/>
  <c r="AW42" i="92"/>
  <c r="AO42" i="92"/>
  <c r="BL42" i="92"/>
  <c r="BD42" i="92"/>
  <c r="AV42" i="92"/>
  <c r="AN42" i="92"/>
  <c r="BK42" i="92"/>
  <c r="BC42" i="92"/>
  <c r="AU42" i="92"/>
  <c r="AM42" i="92"/>
  <c r="BJ42" i="92"/>
  <c r="BB42" i="92"/>
  <c r="AT42" i="92"/>
  <c r="AL42" i="92"/>
  <c r="BI42" i="92"/>
  <c r="BA42" i="92"/>
  <c r="AS42" i="92"/>
  <c r="AK42" i="92"/>
  <c r="BH42" i="92"/>
  <c r="AZ42" i="92"/>
  <c r="AR42" i="92"/>
  <c r="AJ42" i="92"/>
  <c r="BG42" i="92"/>
  <c r="AY42" i="92"/>
  <c r="AQ42" i="92"/>
  <c r="BF42" i="92"/>
  <c r="AX42" i="92"/>
  <c r="AP42" i="92"/>
  <c r="DA41" i="85"/>
  <c r="CS41" i="85"/>
  <c r="CK41" i="85"/>
  <c r="CB41" i="85"/>
  <c r="CZ41" i="85"/>
  <c r="CR41" i="85"/>
  <c r="CJ41" i="85"/>
  <c r="CA41" i="85"/>
  <c r="CY41" i="85"/>
  <c r="CQ41" i="85"/>
  <c r="CI41" i="85"/>
  <c r="CX41" i="85"/>
  <c r="CP41" i="85"/>
  <c r="CH41" i="85"/>
  <c r="CW41" i="85"/>
  <c r="CO41" i="85"/>
  <c r="CG41" i="85"/>
  <c r="DD41" i="85"/>
  <c r="CV41" i="85"/>
  <c r="CN41" i="85"/>
  <c r="CF41" i="85"/>
  <c r="CC41" i="85"/>
  <c r="DC41" i="85"/>
  <c r="DB41" i="85"/>
  <c r="CU41" i="85"/>
  <c r="CT41" i="85"/>
  <c r="CM41" i="85"/>
  <c r="CL41" i="85"/>
  <c r="CE41" i="85"/>
  <c r="BM41" i="85"/>
  <c r="BE41" i="85"/>
  <c r="AW41" i="85"/>
  <c r="AO41" i="85"/>
  <c r="BL41" i="85"/>
  <c r="BD41" i="85"/>
  <c r="AV41" i="85"/>
  <c r="AN41" i="85"/>
  <c r="BK41" i="85"/>
  <c r="BC41" i="85"/>
  <c r="AU41" i="85"/>
  <c r="AL41" i="85"/>
  <c r="BJ41" i="85"/>
  <c r="BB41" i="85"/>
  <c r="AT41" i="85"/>
  <c r="AK41" i="85"/>
  <c r="BI41" i="85"/>
  <c r="BA41" i="85"/>
  <c r="AS41" i="85"/>
  <c r="AJ41" i="85"/>
  <c r="BH41" i="85"/>
  <c r="AZ41" i="85"/>
  <c r="AR41" i="85"/>
  <c r="AP41" i="85"/>
  <c r="BG41" i="85"/>
  <c r="BF41" i="85"/>
  <c r="AY41" i="85"/>
  <c r="AX41" i="85"/>
  <c r="AQ41" i="85"/>
  <c r="CD41" i="85"/>
  <c r="AM41" i="85"/>
  <c r="DC41" i="84"/>
  <c r="CU41" i="84"/>
  <c r="CM41" i="84"/>
  <c r="CE41" i="84"/>
  <c r="DB41" i="84"/>
  <c r="CT41" i="84"/>
  <c r="CL41" i="84"/>
  <c r="CD41" i="84"/>
  <c r="DD41" i="84"/>
  <c r="CR41" i="84"/>
  <c r="CH41" i="84"/>
  <c r="CZ41" i="84"/>
  <c r="CP41" i="84"/>
  <c r="CF41" i="84"/>
  <c r="CY41" i="84"/>
  <c r="CO41" i="84"/>
  <c r="CC41" i="84"/>
  <c r="CX41" i="84"/>
  <c r="CN41" i="84"/>
  <c r="CB41" i="84"/>
  <c r="CJ41" i="84"/>
  <c r="CI41" i="84"/>
  <c r="DA41" i="84"/>
  <c r="CG41" i="84"/>
  <c r="CW41" i="84"/>
  <c r="CV41" i="84"/>
  <c r="CK41" i="84"/>
  <c r="CS41" i="84"/>
  <c r="CQ41" i="84"/>
  <c r="BF41" i="84"/>
  <c r="AX41" i="84"/>
  <c r="AP41" i="84"/>
  <c r="BM41" i="84"/>
  <c r="BE41" i="84"/>
  <c r="AW41" i="84"/>
  <c r="AO41" i="84"/>
  <c r="BD41" i="84"/>
  <c r="AT41" i="84"/>
  <c r="BC41" i="84"/>
  <c r="AS41" i="84"/>
  <c r="BL41" i="84"/>
  <c r="BB41" i="84"/>
  <c r="AR41" i="84"/>
  <c r="BK41" i="84"/>
  <c r="BA41" i="84"/>
  <c r="AQ41" i="84"/>
  <c r="BJ41" i="84"/>
  <c r="AZ41" i="84"/>
  <c r="AN41" i="84"/>
  <c r="BI41" i="84"/>
  <c r="AY41" i="84"/>
  <c r="AM41" i="84"/>
  <c r="BH41" i="84"/>
  <c r="AV41" i="84"/>
  <c r="AL41" i="84"/>
  <c r="BG41" i="84"/>
  <c r="AU41" i="84"/>
  <c r="AK41" i="84"/>
  <c r="AJ41" i="84"/>
  <c r="CA41" i="84"/>
  <c r="AJ41" i="83"/>
  <c r="AR41" i="83"/>
  <c r="AZ41" i="83"/>
  <c r="BH41" i="83"/>
  <c r="CG41" i="83"/>
  <c r="CO41" i="83"/>
  <c r="CW41" i="83"/>
  <c r="CP41" i="83"/>
  <c r="CQ41" i="83"/>
  <c r="CS41" i="83"/>
  <c r="AK41" i="83"/>
  <c r="AS41" i="83"/>
  <c r="BA41" i="83"/>
  <c r="BI41" i="83"/>
  <c r="CH41" i="83"/>
  <c r="CX41" i="83"/>
  <c r="CI41" i="83"/>
  <c r="CY41" i="83"/>
  <c r="CC41" i="83"/>
  <c r="AL41" i="83"/>
  <c r="AT41" i="83"/>
  <c r="BB41" i="83"/>
  <c r="BJ41" i="83"/>
  <c r="CA41" i="83"/>
  <c r="AM41" i="83"/>
  <c r="AU41" i="83"/>
  <c r="BC41" i="83"/>
  <c r="BK41" i="83"/>
  <c r="CB41" i="83"/>
  <c r="CJ41" i="83"/>
  <c r="CR41" i="83"/>
  <c r="CZ41" i="83"/>
  <c r="CK41" i="83"/>
  <c r="AN41" i="83"/>
  <c r="AV41" i="83"/>
  <c r="BD41" i="83"/>
  <c r="BL41" i="83"/>
  <c r="DA41" i="83"/>
  <c r="AW41" i="83"/>
  <c r="CM41" i="83"/>
  <c r="CN41" i="83"/>
  <c r="DD41" i="83"/>
  <c r="AX41" i="83"/>
  <c r="AY41" i="83"/>
  <c r="CT41" i="83"/>
  <c r="BE41" i="83"/>
  <c r="CU41" i="83"/>
  <c r="DC41" i="83"/>
  <c r="BF41" i="83"/>
  <c r="CD41" i="83"/>
  <c r="CV41" i="83"/>
  <c r="CE41" i="83"/>
  <c r="CL41" i="83"/>
  <c r="AO41" i="83"/>
  <c r="BG41" i="83"/>
  <c r="DB41" i="83"/>
  <c r="CF41" i="83"/>
  <c r="AP41" i="83"/>
  <c r="BM41" i="83"/>
  <c r="AQ41" i="83"/>
  <c r="DA42" i="86"/>
  <c r="CS42" i="86"/>
  <c r="CK42" i="86"/>
  <c r="CC42" i="86"/>
  <c r="CZ42" i="86"/>
  <c r="CR42" i="86"/>
  <c r="CJ42" i="86"/>
  <c r="CB42" i="86"/>
  <c r="CY42" i="86"/>
  <c r="CQ42" i="86"/>
  <c r="CI42" i="86"/>
  <c r="CA42" i="86"/>
  <c r="CX42" i="86"/>
  <c r="CP42" i="86"/>
  <c r="CH42" i="86"/>
  <c r="CW42" i="86"/>
  <c r="CO42" i="86"/>
  <c r="CG42" i="86"/>
  <c r="DD42" i="86"/>
  <c r="CV42" i="86"/>
  <c r="CN42" i="86"/>
  <c r="CF42" i="86"/>
  <c r="DC42" i="86"/>
  <c r="CU42" i="86"/>
  <c r="CM42" i="86"/>
  <c r="CE42" i="86"/>
  <c r="DB42" i="86"/>
  <c r="CT42" i="86"/>
  <c r="CL42" i="86"/>
  <c r="CD42" i="86"/>
  <c r="BG42" i="86"/>
  <c r="AY42" i="86"/>
  <c r="AQ42" i="86"/>
  <c r="BF42" i="86"/>
  <c r="AX42" i="86"/>
  <c r="AP42" i="86"/>
  <c r="BM42" i="86"/>
  <c r="BE42" i="86"/>
  <c r="AW42" i="86"/>
  <c r="AO42" i="86"/>
  <c r="BC42" i="86"/>
  <c r="AR42" i="86"/>
  <c r="BB42" i="86"/>
  <c r="AN42" i="86"/>
  <c r="BL42" i="86"/>
  <c r="BA42" i="86"/>
  <c r="AM42" i="86"/>
  <c r="BK42" i="86"/>
  <c r="AZ42" i="86"/>
  <c r="AL42" i="86"/>
  <c r="BJ42" i="86"/>
  <c r="AV42" i="86"/>
  <c r="AK42" i="86"/>
  <c r="BI42" i="86"/>
  <c r="AU42" i="86"/>
  <c r="AJ42" i="86"/>
  <c r="BH42" i="86"/>
  <c r="AT42" i="86"/>
  <c r="BD42" i="86"/>
  <c r="AS42" i="86"/>
  <c r="A25" i="95"/>
  <c r="BG35" i="43"/>
  <c r="Q34" i="43"/>
  <c r="B24" i="47" s="1"/>
  <c r="AS34" i="43"/>
  <c r="B24" i="48" s="1"/>
  <c r="AE34" i="43"/>
  <c r="B24" i="49" s="1"/>
  <c r="C35" i="43"/>
  <c r="B25" i="46" s="1"/>
  <c r="BN40" i="93"/>
  <c r="X29" i="23"/>
  <c r="AD29" i="24" s="1"/>
  <c r="T29" i="23"/>
  <c r="Y29" i="24" s="1"/>
  <c r="P28" i="23"/>
  <c r="T28" i="24" s="1"/>
  <c r="DE40" i="84"/>
  <c r="L40" i="84" s="1"/>
  <c r="BN40" i="88"/>
  <c r="K40" i="88" s="1"/>
  <c r="BN41" i="90"/>
  <c r="K41" i="90" s="1"/>
  <c r="BN40" i="84"/>
  <c r="K41" i="92"/>
  <c r="BN41" i="86"/>
  <c r="K41" i="86" s="1"/>
  <c r="AS30" i="23"/>
  <c r="Z30" i="25"/>
  <c r="B42" i="93"/>
  <c r="A43" i="93"/>
  <c r="AT29" i="23"/>
  <c r="D41" i="93"/>
  <c r="AA29" i="25"/>
  <c r="AD28" i="25"/>
  <c r="AV28" i="23"/>
  <c r="U31" i="25"/>
  <c r="AO31" i="23"/>
  <c r="AK31" i="23"/>
  <c r="P31" i="25"/>
  <c r="F30" i="25"/>
  <c r="AC30" i="23"/>
  <c r="Z31" i="24"/>
  <c r="U31" i="23"/>
  <c r="U31" i="24"/>
  <c r="Q31" i="23"/>
  <c r="D41" i="85"/>
  <c r="N29" i="23"/>
  <c r="Q29" i="24"/>
  <c r="P30" i="24"/>
  <c r="M30" i="23"/>
  <c r="B42" i="85"/>
  <c r="A43" i="85"/>
  <c r="I30" i="23"/>
  <c r="K30" i="24"/>
  <c r="E30" i="23"/>
  <c r="F30" i="24"/>
  <c r="R30" i="23"/>
  <c r="V30" i="24"/>
  <c r="L29" i="24"/>
  <c r="J29" i="23"/>
  <c r="F29" i="23"/>
  <c r="G29" i="24"/>
  <c r="AP30" i="23"/>
  <c r="V30" i="25"/>
  <c r="Y29" i="25"/>
  <c r="AR29" i="23"/>
  <c r="AN29" i="23"/>
  <c r="T29" i="25"/>
  <c r="AF28" i="23"/>
  <c r="J28" i="25"/>
  <c r="V30" i="23"/>
  <c r="AA30" i="24"/>
  <c r="G29" i="25"/>
  <c r="AD29" i="23"/>
  <c r="AL30" i="23"/>
  <c r="Q30" i="25"/>
  <c r="B9" i="94"/>
  <c r="A10" i="94"/>
  <c r="C18" i="82"/>
  <c r="O29" i="25"/>
  <c r="AJ29" i="23"/>
  <c r="K31" i="25"/>
  <c r="AG31" i="23"/>
  <c r="L30" i="25"/>
  <c r="AH30" i="23"/>
  <c r="Y30" i="23"/>
  <c r="A30" i="25"/>
  <c r="B29" i="25"/>
  <c r="Z29" i="23"/>
  <c r="AB28" i="23"/>
  <c r="E28" i="25"/>
  <c r="A44" i="92"/>
  <c r="B43" i="92"/>
  <c r="D42" i="92"/>
  <c r="B43" i="91"/>
  <c r="A44" i="91"/>
  <c r="D42" i="91"/>
  <c r="BO41" i="90"/>
  <c r="B43" i="90"/>
  <c r="A44" i="90"/>
  <c r="DE41" i="90"/>
  <c r="L41" i="90" s="1"/>
  <c r="D42" i="90"/>
  <c r="B42" i="89"/>
  <c r="A43" i="89"/>
  <c r="D41" i="89"/>
  <c r="B42" i="88"/>
  <c r="D41" i="88"/>
  <c r="BO40" i="88"/>
  <c r="B43" i="87"/>
  <c r="A44" i="87"/>
  <c r="D42" i="87"/>
  <c r="B43" i="86"/>
  <c r="A44" i="86"/>
  <c r="D42" i="86"/>
  <c r="D41" i="84"/>
  <c r="L29" i="23" s="1"/>
  <c r="O29" i="24" s="1"/>
  <c r="B42" i="84"/>
  <c r="A43" i="84"/>
  <c r="D41" i="83"/>
  <c r="H29" i="23" s="1"/>
  <c r="J29" i="24" s="1"/>
  <c r="A43" i="83"/>
  <c r="B42" i="83"/>
  <c r="F48" i="50"/>
  <c r="H17" i="50"/>
  <c r="H48" i="50" s="1"/>
  <c r="CH42" i="88" l="1"/>
  <c r="CP42" i="88"/>
  <c r="CX42" i="88"/>
  <c r="CA42" i="88"/>
  <c r="CI42" i="88"/>
  <c r="CQ42" i="88"/>
  <c r="CY42" i="88"/>
  <c r="CB42" i="88"/>
  <c r="CJ42" i="88"/>
  <c r="CR42" i="88"/>
  <c r="CZ42" i="88"/>
  <c r="CC42" i="88"/>
  <c r="CK42" i="88"/>
  <c r="CS42" i="88"/>
  <c r="DA42" i="88"/>
  <c r="CD42" i="88"/>
  <c r="CL42" i="88"/>
  <c r="CT42" i="88"/>
  <c r="DB42" i="88"/>
  <c r="CE42" i="88"/>
  <c r="CM42" i="88"/>
  <c r="CM45" i="88" s="1"/>
  <c r="CU42" i="88"/>
  <c r="DC42" i="88"/>
  <c r="DC45" i="88" s="1"/>
  <c r="CF42" i="88"/>
  <c r="CN42" i="88"/>
  <c r="CN45" i="88" s="1"/>
  <c r="CV42" i="88"/>
  <c r="CV45" i="88" s="1"/>
  <c r="DD42" i="88"/>
  <c r="CG42" i="88"/>
  <c r="CO42" i="88"/>
  <c r="CO45" i="88" s="1"/>
  <c r="CW42" i="88"/>
  <c r="CW45" i="88" s="1"/>
  <c r="AN42" i="88"/>
  <c r="AV42" i="88"/>
  <c r="BD42" i="88"/>
  <c r="BL42" i="88"/>
  <c r="AO42" i="88"/>
  <c r="AW42" i="88"/>
  <c r="BE42" i="88"/>
  <c r="BM42" i="88"/>
  <c r="AP42" i="88"/>
  <c r="AX42" i="88"/>
  <c r="BF42" i="88"/>
  <c r="AQ42" i="88"/>
  <c r="AY42" i="88"/>
  <c r="BG42" i="88"/>
  <c r="AJ42" i="88"/>
  <c r="AR42" i="88"/>
  <c r="AZ42" i="88"/>
  <c r="BH42" i="88"/>
  <c r="BB42" i="88"/>
  <c r="AK42" i="88"/>
  <c r="BC42" i="88"/>
  <c r="AL42" i="88"/>
  <c r="BI42" i="88"/>
  <c r="AS42" i="88"/>
  <c r="BK42" i="88"/>
  <c r="AU42" i="88"/>
  <c r="BA42" i="88"/>
  <c r="AM42" i="88"/>
  <c r="AT42" i="88"/>
  <c r="BJ42" i="88"/>
  <c r="DA42" i="89"/>
  <c r="CS42" i="89"/>
  <c r="CK42" i="89"/>
  <c r="CC42" i="89"/>
  <c r="CZ42" i="89"/>
  <c r="CR42" i="89"/>
  <c r="CJ42" i="89"/>
  <c r="CB42" i="89"/>
  <c r="DD42" i="89"/>
  <c r="CV42" i="89"/>
  <c r="CN42" i="89"/>
  <c r="CF42" i="89"/>
  <c r="CY42" i="89"/>
  <c r="CM42" i="89"/>
  <c r="CX42" i="89"/>
  <c r="CL42" i="89"/>
  <c r="CW42" i="89"/>
  <c r="CI42" i="89"/>
  <c r="CU42" i="89"/>
  <c r="CH42" i="89"/>
  <c r="CQ42" i="89"/>
  <c r="CE42" i="89"/>
  <c r="DC42" i="89"/>
  <c r="CP42" i="89"/>
  <c r="CD42" i="89"/>
  <c r="DB42" i="89"/>
  <c r="CO42" i="89"/>
  <c r="CA42" i="89"/>
  <c r="CT42" i="89"/>
  <c r="CG42" i="89"/>
  <c r="BH42" i="89"/>
  <c r="AZ42" i="89"/>
  <c r="AR42" i="89"/>
  <c r="AJ42" i="89"/>
  <c r="BG42" i="89"/>
  <c r="AY42" i="89"/>
  <c r="AQ42" i="89"/>
  <c r="BF42" i="89"/>
  <c r="AX42" i="89"/>
  <c r="AP42" i="89"/>
  <c r="BL42" i="89"/>
  <c r="BD42" i="89"/>
  <c r="AV42" i="89"/>
  <c r="AN42" i="89"/>
  <c r="BJ42" i="89"/>
  <c r="BB42" i="89"/>
  <c r="AT42" i="89"/>
  <c r="AL42" i="89"/>
  <c r="BI42" i="89"/>
  <c r="BA42" i="89"/>
  <c r="AS42" i="89"/>
  <c r="AK42" i="89"/>
  <c r="BM42" i="89"/>
  <c r="BK42" i="89"/>
  <c r="BE42" i="89"/>
  <c r="BC42" i="89"/>
  <c r="AW42" i="89"/>
  <c r="AU42" i="89"/>
  <c r="AO42" i="89"/>
  <c r="AM42" i="89"/>
  <c r="BF43" i="91"/>
  <c r="AX43" i="91"/>
  <c r="AP43" i="91"/>
  <c r="BM43" i="91"/>
  <c r="BE43" i="91"/>
  <c r="AW43" i="91"/>
  <c r="AO43" i="91"/>
  <c r="BL43" i="91"/>
  <c r="BD43" i="91"/>
  <c r="AV43" i="91"/>
  <c r="AN43" i="91"/>
  <c r="BK43" i="91"/>
  <c r="BC43" i="91"/>
  <c r="AU43" i="91"/>
  <c r="AM43" i="91"/>
  <c r="BJ43" i="91"/>
  <c r="BB43" i="91"/>
  <c r="AT43" i="91"/>
  <c r="AL43" i="91"/>
  <c r="BI43" i="91"/>
  <c r="BA43" i="91"/>
  <c r="AS43" i="91"/>
  <c r="AK43" i="91"/>
  <c r="BH43" i="91"/>
  <c r="AZ43" i="91"/>
  <c r="AR43" i="91"/>
  <c r="AJ43" i="91"/>
  <c r="BG43" i="91"/>
  <c r="AY43" i="91"/>
  <c r="AQ43" i="91"/>
  <c r="CX43" i="91"/>
  <c r="CP43" i="91"/>
  <c r="CH43" i="91"/>
  <c r="CW43" i="91"/>
  <c r="CO43" i="91"/>
  <c r="CG43" i="91"/>
  <c r="DD43" i="91"/>
  <c r="CV43" i="91"/>
  <c r="CN43" i="91"/>
  <c r="CF43" i="91"/>
  <c r="DC43" i="91"/>
  <c r="CU43" i="91"/>
  <c r="CM43" i="91"/>
  <c r="CE43" i="91"/>
  <c r="DB43" i="91"/>
  <c r="CT43" i="91"/>
  <c r="CL43" i="91"/>
  <c r="CD43" i="91"/>
  <c r="CR43" i="91"/>
  <c r="CQ43" i="91"/>
  <c r="CJ43" i="91"/>
  <c r="DA43" i="91"/>
  <c r="CI43" i="91"/>
  <c r="CZ43" i="91"/>
  <c r="CC43" i="91"/>
  <c r="CY43" i="91"/>
  <c r="CB43" i="91"/>
  <c r="CS43" i="91"/>
  <c r="CA43" i="91"/>
  <c r="CK43" i="91"/>
  <c r="CY42" i="93"/>
  <c r="CQ42" i="93"/>
  <c r="CI42" i="93"/>
  <c r="CA42" i="93"/>
  <c r="CX42" i="93"/>
  <c r="CP42" i="93"/>
  <c r="CH42" i="93"/>
  <c r="CW42" i="93"/>
  <c r="CO42" i="93"/>
  <c r="CG42" i="93"/>
  <c r="DD42" i="93"/>
  <c r="CV42" i="93"/>
  <c r="CN42" i="93"/>
  <c r="CF42" i="93"/>
  <c r="DC42" i="93"/>
  <c r="CU42" i="93"/>
  <c r="CM42" i="93"/>
  <c r="CE42" i="93"/>
  <c r="DB42" i="93"/>
  <c r="CT42" i="93"/>
  <c r="CL42" i="93"/>
  <c r="DA42" i="93"/>
  <c r="CS42" i="93"/>
  <c r="CK42" i="93"/>
  <c r="CR42" i="93"/>
  <c r="CJ42" i="93"/>
  <c r="CD42" i="93"/>
  <c r="CC42" i="93"/>
  <c r="CB42" i="93"/>
  <c r="CZ42" i="93"/>
  <c r="BH42" i="93"/>
  <c r="AZ42" i="93"/>
  <c r="AR42" i="93"/>
  <c r="AJ42" i="93"/>
  <c r="BG42" i="93"/>
  <c r="AY42" i="93"/>
  <c r="AQ42" i="93"/>
  <c r="BF42" i="93"/>
  <c r="AX42" i="93"/>
  <c r="AP42" i="93"/>
  <c r="BL42" i="93"/>
  <c r="BD42" i="93"/>
  <c r="AV42" i="93"/>
  <c r="AN42" i="93"/>
  <c r="BJ42" i="93"/>
  <c r="BB42" i="93"/>
  <c r="AT42" i="93"/>
  <c r="AL42" i="93"/>
  <c r="BI42" i="93"/>
  <c r="BA42" i="93"/>
  <c r="AS42" i="93"/>
  <c r="AK42" i="93"/>
  <c r="BM42" i="93"/>
  <c r="BK42" i="93"/>
  <c r="BE42" i="93"/>
  <c r="BC42" i="93"/>
  <c r="AW42" i="93"/>
  <c r="AU42" i="93"/>
  <c r="AO42" i="93"/>
  <c r="AM42" i="93"/>
  <c r="CZ43" i="87"/>
  <c r="CR43" i="87"/>
  <c r="CJ43" i="87"/>
  <c r="CB43" i="87"/>
  <c r="CY43" i="87"/>
  <c r="CQ43" i="87"/>
  <c r="CI43" i="87"/>
  <c r="CA43" i="87"/>
  <c r="CX43" i="87"/>
  <c r="CP43" i="87"/>
  <c r="CH43" i="87"/>
  <c r="CW43" i="87"/>
  <c r="CO43" i="87"/>
  <c r="CG43" i="87"/>
  <c r="DD43" i="87"/>
  <c r="CV43" i="87"/>
  <c r="CN43" i="87"/>
  <c r="CF43" i="87"/>
  <c r="DC43" i="87"/>
  <c r="CU43" i="87"/>
  <c r="CM43" i="87"/>
  <c r="CE43" i="87"/>
  <c r="DB43" i="87"/>
  <c r="CT43" i="87"/>
  <c r="CL43" i="87"/>
  <c r="CD43" i="87"/>
  <c r="DA43" i="87"/>
  <c r="CS43" i="87"/>
  <c r="CK43" i="87"/>
  <c r="CC43" i="87"/>
  <c r="BI43" i="87"/>
  <c r="BA43" i="87"/>
  <c r="AS43" i="87"/>
  <c r="AK43" i="87"/>
  <c r="BH43" i="87"/>
  <c r="AZ43" i="87"/>
  <c r="AR43" i="87"/>
  <c r="AJ43" i="87"/>
  <c r="BG43" i="87"/>
  <c r="AY43" i="87"/>
  <c r="AQ43" i="87"/>
  <c r="BF43" i="87"/>
  <c r="AX43" i="87"/>
  <c r="AP43" i="87"/>
  <c r="BM43" i="87"/>
  <c r="BE43" i="87"/>
  <c r="AW43" i="87"/>
  <c r="AO43" i="87"/>
  <c r="BL43" i="87"/>
  <c r="BD43" i="87"/>
  <c r="AV43" i="87"/>
  <c r="AN43" i="87"/>
  <c r="BK43" i="87"/>
  <c r="BC43" i="87"/>
  <c r="AU43" i="87"/>
  <c r="AM43" i="87"/>
  <c r="AT43" i="87"/>
  <c r="AL43" i="87"/>
  <c r="BJ43" i="87"/>
  <c r="BB43" i="87"/>
  <c r="CY43" i="92"/>
  <c r="CQ43" i="92"/>
  <c r="CI43" i="92"/>
  <c r="CA43" i="92"/>
  <c r="CX43" i="92"/>
  <c r="CP43" i="92"/>
  <c r="CH43" i="92"/>
  <c r="CW43" i="92"/>
  <c r="CO43" i="92"/>
  <c r="CG43" i="92"/>
  <c r="DD43" i="92"/>
  <c r="CV43" i="92"/>
  <c r="CN43" i="92"/>
  <c r="CF43" i="92"/>
  <c r="DC43" i="92"/>
  <c r="DB43" i="92"/>
  <c r="CT43" i="92"/>
  <c r="CL43" i="92"/>
  <c r="CD43" i="92"/>
  <c r="DA43" i="92"/>
  <c r="CS43" i="92"/>
  <c r="CK43" i="92"/>
  <c r="CC43" i="92"/>
  <c r="CZ43" i="92"/>
  <c r="CR43" i="92"/>
  <c r="CJ43" i="92"/>
  <c r="CB43" i="92"/>
  <c r="CU43" i="92"/>
  <c r="CM43" i="92"/>
  <c r="CE43" i="92"/>
  <c r="BG43" i="92"/>
  <c r="AY43" i="92"/>
  <c r="AQ43" i="92"/>
  <c r="BF43" i="92"/>
  <c r="AX43" i="92"/>
  <c r="AP43" i="92"/>
  <c r="BM43" i="92"/>
  <c r="BE43" i="92"/>
  <c r="AW43" i="92"/>
  <c r="AO43" i="92"/>
  <c r="BL43" i="92"/>
  <c r="BD43" i="92"/>
  <c r="AV43" i="92"/>
  <c r="AN43" i="92"/>
  <c r="BK43" i="92"/>
  <c r="BC43" i="92"/>
  <c r="AU43" i="92"/>
  <c r="AM43" i="92"/>
  <c r="BJ43" i="92"/>
  <c r="BB43" i="92"/>
  <c r="AT43" i="92"/>
  <c r="AL43" i="92"/>
  <c r="BI43" i="92"/>
  <c r="BA43" i="92"/>
  <c r="AS43" i="92"/>
  <c r="AK43" i="92"/>
  <c r="BH43" i="92"/>
  <c r="AZ43" i="92"/>
  <c r="AR43" i="92"/>
  <c r="AJ43" i="92"/>
  <c r="DC43" i="90"/>
  <c r="CU43" i="90"/>
  <c r="CM43" i="90"/>
  <c r="CD43" i="90"/>
  <c r="DB43" i="90"/>
  <c r="CT43" i="90"/>
  <c r="CL43" i="90"/>
  <c r="CC43" i="90"/>
  <c r="DA43" i="90"/>
  <c r="CS43" i="90"/>
  <c r="CK43" i="90"/>
  <c r="CB43" i="90"/>
  <c r="CZ43" i="90"/>
  <c r="CR43" i="90"/>
  <c r="CJ43" i="90"/>
  <c r="CA43" i="90"/>
  <c r="CY43" i="90"/>
  <c r="CQ43" i="90"/>
  <c r="CI43" i="90"/>
  <c r="CX43" i="90"/>
  <c r="CP43" i="90"/>
  <c r="CG43" i="90"/>
  <c r="DD43" i="90"/>
  <c r="CW43" i="90"/>
  <c r="CV43" i="90"/>
  <c r="CO43" i="90"/>
  <c r="CN43" i="90"/>
  <c r="CF43" i="90"/>
  <c r="CE43" i="90"/>
  <c r="BF43" i="90"/>
  <c r="AX43" i="90"/>
  <c r="AO43" i="90"/>
  <c r="BM43" i="90"/>
  <c r="BE43" i="90"/>
  <c r="AW43" i="90"/>
  <c r="AN43" i="90"/>
  <c r="BL43" i="90"/>
  <c r="BD43" i="90"/>
  <c r="AV43" i="90"/>
  <c r="AM43" i="90"/>
  <c r="AP43" i="90"/>
  <c r="BK43" i="90"/>
  <c r="BC43" i="90"/>
  <c r="AU43" i="90"/>
  <c r="AL43" i="90"/>
  <c r="BJ43" i="90"/>
  <c r="BB43" i="90"/>
  <c r="AT43" i="90"/>
  <c r="AK43" i="90"/>
  <c r="BI43" i="90"/>
  <c r="BA43" i="90"/>
  <c r="AS43" i="90"/>
  <c r="AJ43" i="90"/>
  <c r="AY43" i="90"/>
  <c r="BH43" i="90"/>
  <c r="AZ43" i="90"/>
  <c r="AR43" i="90"/>
  <c r="BG43" i="90"/>
  <c r="AQ43" i="90"/>
  <c r="CH43" i="90"/>
  <c r="BN42" i="92"/>
  <c r="K42" i="92" s="1"/>
  <c r="BO42" i="92"/>
  <c r="DC42" i="85"/>
  <c r="CU42" i="85"/>
  <c r="CM42" i="85"/>
  <c r="CE42" i="85"/>
  <c r="DB42" i="85"/>
  <c r="CT42" i="85"/>
  <c r="CL42" i="85"/>
  <c r="CD42" i="85"/>
  <c r="DA42" i="85"/>
  <c r="CS42" i="85"/>
  <c r="CK42" i="85"/>
  <c r="CC42" i="85"/>
  <c r="CZ42" i="85"/>
  <c r="CR42" i="85"/>
  <c r="CJ42" i="85"/>
  <c r="CB42" i="85"/>
  <c r="CY42" i="85"/>
  <c r="CQ42" i="85"/>
  <c r="CI42" i="85"/>
  <c r="CA42" i="85"/>
  <c r="CX42" i="85"/>
  <c r="CP42" i="85"/>
  <c r="CH42" i="85"/>
  <c r="CF42" i="85"/>
  <c r="DD42" i="85"/>
  <c r="CW42" i="85"/>
  <c r="CV42" i="85"/>
  <c r="CO42" i="85"/>
  <c r="CN42" i="85"/>
  <c r="CG42" i="85"/>
  <c r="BG42" i="85"/>
  <c r="AY42" i="85"/>
  <c r="AQ42" i="85"/>
  <c r="BF42" i="85"/>
  <c r="AX42" i="85"/>
  <c r="AP42" i="85"/>
  <c r="BM42" i="85"/>
  <c r="BE42" i="85"/>
  <c r="AW42" i="85"/>
  <c r="AO42" i="85"/>
  <c r="BL42" i="85"/>
  <c r="BD42" i="85"/>
  <c r="AV42" i="85"/>
  <c r="AN42" i="85"/>
  <c r="BK42" i="85"/>
  <c r="BC42" i="85"/>
  <c r="AU42" i="85"/>
  <c r="AM42" i="85"/>
  <c r="BJ42" i="85"/>
  <c r="BB42" i="85"/>
  <c r="AT42" i="85"/>
  <c r="AL42" i="85"/>
  <c r="AR42" i="85"/>
  <c r="AK42" i="85"/>
  <c r="AJ42" i="85"/>
  <c r="BI42" i="85"/>
  <c r="BH42" i="85"/>
  <c r="BA42" i="85"/>
  <c r="AZ42" i="85"/>
  <c r="AS42" i="85"/>
  <c r="CX42" i="84"/>
  <c r="CP42" i="84"/>
  <c r="CH42" i="84"/>
  <c r="CW42" i="84"/>
  <c r="CO42" i="84"/>
  <c r="CG42" i="84"/>
  <c r="CU42" i="84"/>
  <c r="CK42" i="84"/>
  <c r="DC42" i="84"/>
  <c r="CS42" i="84"/>
  <c r="CI42" i="84"/>
  <c r="DB42" i="84"/>
  <c r="CR42" i="84"/>
  <c r="CF42" i="84"/>
  <c r="DA42" i="84"/>
  <c r="CQ42" i="84"/>
  <c r="CE42" i="84"/>
  <c r="CY42" i="84"/>
  <c r="CC42" i="84"/>
  <c r="CV42" i="84"/>
  <c r="CA42" i="84"/>
  <c r="CT42" i="84"/>
  <c r="CN42" i="84"/>
  <c r="CM42" i="84"/>
  <c r="DD42" i="84"/>
  <c r="CZ42" i="84"/>
  <c r="CL42" i="84"/>
  <c r="CJ42" i="84"/>
  <c r="CD42" i="84"/>
  <c r="BK42" i="84"/>
  <c r="BC42" i="84"/>
  <c r="AU42" i="84"/>
  <c r="BL42" i="84"/>
  <c r="BB42" i="84"/>
  <c r="AS42" i="84"/>
  <c r="AJ42" i="84"/>
  <c r="BJ42" i="84"/>
  <c r="BA42" i="84"/>
  <c r="AR42" i="84"/>
  <c r="BI42" i="84"/>
  <c r="AX42" i="84"/>
  <c r="AM42" i="84"/>
  <c r="BH42" i="84"/>
  <c r="AW42" i="84"/>
  <c r="AL42" i="84"/>
  <c r="BG42" i="84"/>
  <c r="AV42" i="84"/>
  <c r="BF42" i="84"/>
  <c r="AT42" i="84"/>
  <c r="BE42" i="84"/>
  <c r="AQ42" i="84"/>
  <c r="BD42" i="84"/>
  <c r="AP42" i="84"/>
  <c r="AZ42" i="84"/>
  <c r="AO42" i="84"/>
  <c r="BM42" i="84"/>
  <c r="AY42" i="84"/>
  <c r="AN42" i="84"/>
  <c r="DC43" i="86"/>
  <c r="CU43" i="86"/>
  <c r="CM43" i="86"/>
  <c r="CE43" i="86"/>
  <c r="DB43" i="86"/>
  <c r="CT43" i="86"/>
  <c r="CL43" i="86"/>
  <c r="CD43" i="86"/>
  <c r="DA43" i="86"/>
  <c r="CS43" i="86"/>
  <c r="CK43" i="86"/>
  <c r="CC43" i="86"/>
  <c r="CZ43" i="86"/>
  <c r="CR43" i="86"/>
  <c r="CJ43" i="86"/>
  <c r="CB43" i="86"/>
  <c r="CY43" i="86"/>
  <c r="CQ43" i="86"/>
  <c r="CI43" i="86"/>
  <c r="CA43" i="86"/>
  <c r="CX43" i="86"/>
  <c r="CP43" i="86"/>
  <c r="CH43" i="86"/>
  <c r="CW43" i="86"/>
  <c r="CO43" i="86"/>
  <c r="CG43" i="86"/>
  <c r="DD43" i="86"/>
  <c r="CV43" i="86"/>
  <c r="CN43" i="86"/>
  <c r="CF43" i="86"/>
  <c r="BI43" i="86"/>
  <c r="BA43" i="86"/>
  <c r="AS43" i="86"/>
  <c r="AK43" i="86"/>
  <c r="BH43" i="86"/>
  <c r="AZ43" i="86"/>
  <c r="AR43" i="86"/>
  <c r="AJ43" i="86"/>
  <c r="BG43" i="86"/>
  <c r="AY43" i="86"/>
  <c r="AQ43" i="86"/>
  <c r="BM43" i="86"/>
  <c r="BE43" i="86"/>
  <c r="BL43" i="86"/>
  <c r="AX43" i="86"/>
  <c r="AM43" i="86"/>
  <c r="AW43" i="86"/>
  <c r="AL43" i="86"/>
  <c r="BK43" i="86"/>
  <c r="AV43" i="86"/>
  <c r="BJ43" i="86"/>
  <c r="AU43" i="86"/>
  <c r="BF43" i="86"/>
  <c r="AT43" i="86"/>
  <c r="BD43" i="86"/>
  <c r="AP43" i="86"/>
  <c r="BC43" i="86"/>
  <c r="AO43" i="86"/>
  <c r="BB43" i="86"/>
  <c r="AN43" i="86"/>
  <c r="AL42" i="83"/>
  <c r="AT42" i="83"/>
  <c r="BB42" i="83"/>
  <c r="BJ42" i="83"/>
  <c r="CA42" i="83"/>
  <c r="CI42" i="83"/>
  <c r="CQ42" i="83"/>
  <c r="CY42" i="83"/>
  <c r="CB42" i="83"/>
  <c r="CZ42" i="83"/>
  <c r="CC42" i="83"/>
  <c r="DA42" i="83"/>
  <c r="DC42" i="83"/>
  <c r="AM42" i="83"/>
  <c r="AU42" i="83"/>
  <c r="BC42" i="83"/>
  <c r="BK42" i="83"/>
  <c r="CJ42" i="83"/>
  <c r="CR42" i="83"/>
  <c r="CS42" i="83"/>
  <c r="CE42" i="83"/>
  <c r="AN42" i="83"/>
  <c r="AV42" i="83"/>
  <c r="BD42" i="83"/>
  <c r="BL42" i="83"/>
  <c r="CK42" i="83"/>
  <c r="CU42" i="83"/>
  <c r="AO42" i="83"/>
  <c r="AW42" i="83"/>
  <c r="BE42" i="83"/>
  <c r="BM42" i="83"/>
  <c r="CD42" i="83"/>
  <c r="CL42" i="83"/>
  <c r="CT42" i="83"/>
  <c r="DB42" i="83"/>
  <c r="CM42" i="83"/>
  <c r="AP42" i="83"/>
  <c r="AX42" i="83"/>
  <c r="BF42" i="83"/>
  <c r="AK42" i="83"/>
  <c r="BH42" i="83"/>
  <c r="CF42" i="83"/>
  <c r="CX42" i="83"/>
  <c r="DD42" i="83"/>
  <c r="CN42" i="83"/>
  <c r="AQ42" i="83"/>
  <c r="BI42" i="83"/>
  <c r="CG42" i="83"/>
  <c r="CV42" i="83"/>
  <c r="AR42" i="83"/>
  <c r="CH42" i="83"/>
  <c r="AS42" i="83"/>
  <c r="AY42" i="83"/>
  <c r="CO42" i="83"/>
  <c r="CP42" i="83"/>
  <c r="AZ42" i="83"/>
  <c r="BA42" i="83"/>
  <c r="AJ42" i="83"/>
  <c r="BG42" i="83"/>
  <c r="CW42" i="83"/>
  <c r="B25" i="95"/>
  <c r="BF36" i="43"/>
  <c r="B10" i="94"/>
  <c r="B19" i="82"/>
  <c r="CV44" i="88"/>
  <c r="DD44" i="88"/>
  <c r="CW44" i="88"/>
  <c r="CY44" i="88"/>
  <c r="CZ44" i="88"/>
  <c r="DA44" i="88"/>
  <c r="DC44" i="88"/>
  <c r="CU44" i="88"/>
  <c r="CX44" i="88"/>
  <c r="DB44" i="88"/>
  <c r="P35" i="43"/>
  <c r="A25" i="47" s="1"/>
  <c r="AR35" i="43"/>
  <c r="A25" i="48" s="1"/>
  <c r="AD35" i="43"/>
  <c r="A25" i="49" s="1"/>
  <c r="B36" i="43"/>
  <c r="BN41" i="93"/>
  <c r="K41" i="93" s="1"/>
  <c r="DE41" i="93"/>
  <c r="L41" i="93" s="1"/>
  <c r="X30" i="23"/>
  <c r="AD30" i="24" s="1"/>
  <c r="T30" i="23"/>
  <c r="Y30" i="24" s="1"/>
  <c r="DE42" i="86"/>
  <c r="L42" i="86" s="1"/>
  <c r="P29" i="23"/>
  <c r="T29" i="24" s="1"/>
  <c r="BN41" i="85"/>
  <c r="K41" i="85" s="1"/>
  <c r="BN41" i="84"/>
  <c r="BN41" i="83"/>
  <c r="BK44" i="88"/>
  <c r="BJ44" i="88"/>
  <c r="BI44" i="88"/>
  <c r="BH44" i="88"/>
  <c r="BG44" i="88"/>
  <c r="BF44" i="88"/>
  <c r="BM44" i="88"/>
  <c r="BE44" i="88"/>
  <c r="BL44" i="88"/>
  <c r="BD44" i="88"/>
  <c r="BN41" i="89"/>
  <c r="K41" i="89" s="1"/>
  <c r="BN42" i="86"/>
  <c r="K42" i="86" s="1"/>
  <c r="BO41" i="93"/>
  <c r="AS31" i="23"/>
  <c r="Z31" i="25"/>
  <c r="B43" i="93"/>
  <c r="A44" i="93"/>
  <c r="AT30" i="23"/>
  <c r="AA30" i="25"/>
  <c r="D42" i="93"/>
  <c r="AV29" i="23"/>
  <c r="AD29" i="25"/>
  <c r="B44" i="92"/>
  <c r="AP32" i="23" s="1"/>
  <c r="AO32" i="23"/>
  <c r="U32" i="25"/>
  <c r="AK32" i="23"/>
  <c r="P32" i="25"/>
  <c r="AC31" i="23"/>
  <c r="F31" i="25"/>
  <c r="U32" i="23"/>
  <c r="Z32" i="24"/>
  <c r="U32" i="24"/>
  <c r="Q32" i="23"/>
  <c r="M31" i="23"/>
  <c r="P31" i="24"/>
  <c r="A44" i="85"/>
  <c r="B43" i="85"/>
  <c r="Q30" i="24"/>
  <c r="N30" i="23"/>
  <c r="D42" i="85"/>
  <c r="BO41" i="85"/>
  <c r="I31" i="23"/>
  <c r="K31" i="24"/>
  <c r="F31" i="24"/>
  <c r="E31" i="23"/>
  <c r="V31" i="24"/>
  <c r="R31" i="23"/>
  <c r="L30" i="24"/>
  <c r="J30" i="23"/>
  <c r="F30" i="23"/>
  <c r="G30" i="24"/>
  <c r="Q31" i="25"/>
  <c r="AL31" i="23"/>
  <c r="AR30" i="23"/>
  <c r="Y30" i="25"/>
  <c r="V31" i="25"/>
  <c r="AP31" i="23"/>
  <c r="AF29" i="23"/>
  <c r="J29" i="25"/>
  <c r="V31" i="23"/>
  <c r="AA31" i="24"/>
  <c r="T30" i="25"/>
  <c r="AN30" i="23"/>
  <c r="AD30" i="23"/>
  <c r="G30" i="25"/>
  <c r="AJ30" i="23"/>
  <c r="O30" i="25"/>
  <c r="B44" i="90"/>
  <c r="AG32" i="23"/>
  <c r="K32" i="25"/>
  <c r="AH31" i="23"/>
  <c r="L31" i="25"/>
  <c r="Y31" i="23"/>
  <c r="A31" i="25"/>
  <c r="Z30" i="23"/>
  <c r="B30" i="25"/>
  <c r="E29" i="25"/>
  <c r="AB29" i="23"/>
  <c r="D43" i="92"/>
  <c r="D44" i="92"/>
  <c r="B44" i="91"/>
  <c r="A45" i="91"/>
  <c r="D43" i="91"/>
  <c r="D43" i="90"/>
  <c r="B43" i="89"/>
  <c r="A44" i="89"/>
  <c r="D42" i="89"/>
  <c r="D42" i="88"/>
  <c r="B44" i="87"/>
  <c r="A45" i="87"/>
  <c r="D43" i="87"/>
  <c r="B44" i="86"/>
  <c r="A45" i="86"/>
  <c r="D43" i="86"/>
  <c r="A44" i="84"/>
  <c r="B43" i="84"/>
  <c r="D42" i="84"/>
  <c r="L30" i="23" s="1"/>
  <c r="O30" i="24" s="1"/>
  <c r="D42" i="83"/>
  <c r="H30" i="23" s="1"/>
  <c r="J30" i="24" s="1"/>
  <c r="A44" i="83"/>
  <c r="B43" i="83"/>
  <c r="H18" i="50"/>
  <c r="H49" i="50" s="1"/>
  <c r="F49" i="50"/>
  <c r="H56" i="50"/>
  <c r="DA45" i="88" l="1"/>
  <c r="CY45" i="88"/>
  <c r="CU45" i="88"/>
  <c r="CS45" i="88"/>
  <c r="CQ45" i="88"/>
  <c r="CK45" i="88"/>
  <c r="CI45" i="88"/>
  <c r="CG45" i="88"/>
  <c r="CE45" i="88"/>
  <c r="CA45" i="88"/>
  <c r="DD45" i="88"/>
  <c r="DB45" i="88"/>
  <c r="CZ45" i="88"/>
  <c r="CX45" i="88"/>
  <c r="CT45" i="88"/>
  <c r="CP45" i="88"/>
  <c r="CL45" i="88"/>
  <c r="CJ45" i="88"/>
  <c r="CH45" i="88"/>
  <c r="CF45" i="88"/>
  <c r="CD45" i="88"/>
  <c r="DC43" i="89"/>
  <c r="CU43" i="89"/>
  <c r="CM43" i="89"/>
  <c r="CE43" i="89"/>
  <c r="DB43" i="89"/>
  <c r="CT43" i="89"/>
  <c r="CL43" i="89"/>
  <c r="CD43" i="89"/>
  <c r="CZ43" i="89"/>
  <c r="CR43" i="89"/>
  <c r="CJ43" i="89"/>
  <c r="CB43" i="89"/>
  <c r="CY43" i="89"/>
  <c r="CQ43" i="89"/>
  <c r="CI43" i="89"/>
  <c r="CA43" i="89"/>
  <c r="CX43" i="89"/>
  <c r="CP43" i="89"/>
  <c r="CH43" i="89"/>
  <c r="CO43" i="89"/>
  <c r="CN43" i="89"/>
  <c r="CK43" i="89"/>
  <c r="DD43" i="89"/>
  <c r="CG43" i="89"/>
  <c r="DA43" i="89"/>
  <c r="CW43" i="89"/>
  <c r="CC43" i="89"/>
  <c r="CV43" i="89"/>
  <c r="CS43" i="89"/>
  <c r="CF43" i="89"/>
  <c r="BJ43" i="89"/>
  <c r="BB43" i="89"/>
  <c r="AT43" i="89"/>
  <c r="AL43" i="89"/>
  <c r="BI43" i="89"/>
  <c r="BA43" i="89"/>
  <c r="AS43" i="89"/>
  <c r="AK43" i="89"/>
  <c r="BH43" i="89"/>
  <c r="AZ43" i="89"/>
  <c r="AR43" i="89"/>
  <c r="AJ43" i="89"/>
  <c r="BF43" i="89"/>
  <c r="AX43" i="89"/>
  <c r="AP43" i="89"/>
  <c r="BL43" i="89"/>
  <c r="BD43" i="89"/>
  <c r="AV43" i="89"/>
  <c r="AN43" i="89"/>
  <c r="BK43" i="89"/>
  <c r="BC43" i="89"/>
  <c r="AU43" i="89"/>
  <c r="AM43" i="89"/>
  <c r="BM43" i="89"/>
  <c r="BG43" i="89"/>
  <c r="BE43" i="89"/>
  <c r="AY43" i="89"/>
  <c r="AW43" i="89"/>
  <c r="AQ43" i="89"/>
  <c r="AO43" i="89"/>
  <c r="DB44" i="87"/>
  <c r="CT44" i="87"/>
  <c r="CL44" i="87"/>
  <c r="CD44" i="87"/>
  <c r="DA44" i="87"/>
  <c r="CS44" i="87"/>
  <c r="CK44" i="87"/>
  <c r="CC44" i="87"/>
  <c r="CZ44" i="87"/>
  <c r="CR44" i="87"/>
  <c r="CJ44" i="87"/>
  <c r="CB44" i="87"/>
  <c r="CY44" i="87"/>
  <c r="CQ44" i="87"/>
  <c r="CI44" i="87"/>
  <c r="CA44" i="87"/>
  <c r="CX44" i="87"/>
  <c r="CP44" i="87"/>
  <c r="CH44" i="87"/>
  <c r="CW44" i="87"/>
  <c r="CO44" i="87"/>
  <c r="CG44" i="87"/>
  <c r="DD44" i="87"/>
  <c r="CV44" i="87"/>
  <c r="CN44" i="87"/>
  <c r="CF44" i="87"/>
  <c r="DC44" i="87"/>
  <c r="CU44" i="87"/>
  <c r="CM44" i="87"/>
  <c r="CE44" i="87"/>
  <c r="BK44" i="87"/>
  <c r="BC44" i="87"/>
  <c r="AU44" i="87"/>
  <c r="AM44" i="87"/>
  <c r="BJ44" i="87"/>
  <c r="BB44" i="87"/>
  <c r="AT44" i="87"/>
  <c r="AL44" i="87"/>
  <c r="BI44" i="87"/>
  <c r="BA44" i="87"/>
  <c r="AS44" i="87"/>
  <c r="AK44" i="87"/>
  <c r="BH44" i="87"/>
  <c r="AZ44" i="87"/>
  <c r="AR44" i="87"/>
  <c r="AJ44" i="87"/>
  <c r="BG44" i="87"/>
  <c r="AY44" i="87"/>
  <c r="AQ44" i="87"/>
  <c r="BF44" i="87"/>
  <c r="AX44" i="87"/>
  <c r="AP44" i="87"/>
  <c r="BM44" i="87"/>
  <c r="BE44" i="87"/>
  <c r="AW44" i="87"/>
  <c r="AO44" i="87"/>
  <c r="BL44" i="87"/>
  <c r="BD44" i="87"/>
  <c r="AV44" i="87"/>
  <c r="AN44" i="87"/>
  <c r="BH44" i="91"/>
  <c r="AZ44" i="91"/>
  <c r="AR44" i="91"/>
  <c r="AJ44" i="91"/>
  <c r="BG44" i="91"/>
  <c r="AY44" i="91"/>
  <c r="AQ44" i="91"/>
  <c r="BF44" i="91"/>
  <c r="AX44" i="91"/>
  <c r="AP44" i="91"/>
  <c r="BM44" i="91"/>
  <c r="BE44" i="91"/>
  <c r="AW44" i="91"/>
  <c r="AO44" i="91"/>
  <c r="BL44" i="91"/>
  <c r="BD44" i="91"/>
  <c r="AV44" i="91"/>
  <c r="AN44" i="91"/>
  <c r="BK44" i="91"/>
  <c r="BC44" i="91"/>
  <c r="AU44" i="91"/>
  <c r="AM44" i="91"/>
  <c r="BJ44" i="91"/>
  <c r="BB44" i="91"/>
  <c r="AT44" i="91"/>
  <c r="AL44" i="91"/>
  <c r="BI44" i="91"/>
  <c r="BA44" i="91"/>
  <c r="AS44" i="91"/>
  <c r="AK44" i="91"/>
  <c r="CZ44" i="91"/>
  <c r="CR44" i="91"/>
  <c r="CJ44" i="91"/>
  <c r="CB44" i="91"/>
  <c r="CY44" i="91"/>
  <c r="CQ44" i="91"/>
  <c r="CI44" i="91"/>
  <c r="CA44" i="91"/>
  <c r="CX44" i="91"/>
  <c r="CP44" i="91"/>
  <c r="CH44" i="91"/>
  <c r="CW44" i="91"/>
  <c r="CO44" i="91"/>
  <c r="CG44" i="91"/>
  <c r="DD44" i="91"/>
  <c r="CV44" i="91"/>
  <c r="CN44" i="91"/>
  <c r="CF44" i="91"/>
  <c r="DC44" i="91"/>
  <c r="CU44" i="91"/>
  <c r="CK44" i="91"/>
  <c r="CE44" i="91"/>
  <c r="DA44" i="91"/>
  <c r="CC44" i="91"/>
  <c r="CT44" i="91"/>
  <c r="CS44" i="91"/>
  <c r="CM44" i="91"/>
  <c r="CL44" i="91"/>
  <c r="DB44" i="91"/>
  <c r="CD44" i="91"/>
  <c r="V32" i="25"/>
  <c r="DA43" i="93"/>
  <c r="CS43" i="93"/>
  <c r="CK43" i="93"/>
  <c r="CC43" i="93"/>
  <c r="CZ43" i="93"/>
  <c r="CR43" i="93"/>
  <c r="CJ43" i="93"/>
  <c r="CB43" i="93"/>
  <c r="CY43" i="93"/>
  <c r="CQ43" i="93"/>
  <c r="CI43" i="93"/>
  <c r="CA43" i="93"/>
  <c r="CX43" i="93"/>
  <c r="CP43" i="93"/>
  <c r="CH43" i="93"/>
  <c r="CW43" i="93"/>
  <c r="CO43" i="93"/>
  <c r="CG43" i="93"/>
  <c r="DD43" i="93"/>
  <c r="CV43" i="93"/>
  <c r="CN43" i="93"/>
  <c r="CF43" i="93"/>
  <c r="DC43" i="93"/>
  <c r="CU43" i="93"/>
  <c r="CM43" i="93"/>
  <c r="CE43" i="93"/>
  <c r="DB43" i="93"/>
  <c r="CT43" i="93"/>
  <c r="CL43" i="93"/>
  <c r="CD43" i="93"/>
  <c r="BJ43" i="93"/>
  <c r="BB43" i="93"/>
  <c r="AT43" i="93"/>
  <c r="AL43" i="93"/>
  <c r="BI43" i="93"/>
  <c r="BA43" i="93"/>
  <c r="AS43" i="93"/>
  <c r="AK43" i="93"/>
  <c r="BH43" i="93"/>
  <c r="AZ43" i="93"/>
  <c r="AR43" i="93"/>
  <c r="AJ43" i="93"/>
  <c r="BF43" i="93"/>
  <c r="AX43" i="93"/>
  <c r="AP43" i="93"/>
  <c r="BL43" i="93"/>
  <c r="BD43" i="93"/>
  <c r="AV43" i="93"/>
  <c r="AN43" i="93"/>
  <c r="BK43" i="93"/>
  <c r="BC43" i="93"/>
  <c r="AU43" i="93"/>
  <c r="AM43" i="93"/>
  <c r="BM43" i="93"/>
  <c r="BG43" i="93"/>
  <c r="BE43" i="93"/>
  <c r="AY43" i="93"/>
  <c r="AW43" i="93"/>
  <c r="AQ43" i="93"/>
  <c r="AO43" i="93"/>
  <c r="BN43" i="92"/>
  <c r="K43" i="92" s="1"/>
  <c r="BO43" i="92"/>
  <c r="DA44" i="92"/>
  <c r="DA45" i="92" s="1"/>
  <c r="CS44" i="92"/>
  <c r="CS45" i="92" s="1"/>
  <c r="CK44" i="92"/>
  <c r="CC44" i="92"/>
  <c r="CZ44" i="92"/>
  <c r="CZ45" i="92" s="1"/>
  <c r="CR44" i="92"/>
  <c r="CJ44" i="92"/>
  <c r="CJ45" i="92" s="1"/>
  <c r="CB44" i="92"/>
  <c r="CY44" i="92"/>
  <c r="CQ44" i="92"/>
  <c r="CI44" i="92"/>
  <c r="CA44" i="92"/>
  <c r="CX44" i="92"/>
  <c r="CX45" i="92" s="1"/>
  <c r="CP44" i="92"/>
  <c r="CH44" i="92"/>
  <c r="CH45" i="92" s="1"/>
  <c r="CW44" i="92"/>
  <c r="CO44" i="92"/>
  <c r="CO45" i="92" s="1"/>
  <c r="CG44" i="92"/>
  <c r="CG45" i="92" s="1"/>
  <c r="DD44" i="92"/>
  <c r="CV44" i="92"/>
  <c r="CN44" i="92"/>
  <c r="CN45" i="92" s="1"/>
  <c r="CF44" i="92"/>
  <c r="DC44" i="92"/>
  <c r="DC46" i="92" s="1"/>
  <c r="CU44" i="92"/>
  <c r="CU45" i="92" s="1"/>
  <c r="CM44" i="92"/>
  <c r="CE44" i="92"/>
  <c r="DB44" i="92"/>
  <c r="CT44" i="92"/>
  <c r="CL44" i="92"/>
  <c r="CL45" i="92" s="1"/>
  <c r="CD44" i="92"/>
  <c r="CD45" i="92" s="1"/>
  <c r="BI44" i="92"/>
  <c r="BI45" i="92" s="1"/>
  <c r="BA44" i="92"/>
  <c r="BA45" i="92" s="1"/>
  <c r="AS44" i="92"/>
  <c r="AK44" i="92"/>
  <c r="BH44" i="92"/>
  <c r="AZ44" i="92"/>
  <c r="AZ45" i="92" s="1"/>
  <c r="AR44" i="92"/>
  <c r="AR45" i="92" s="1"/>
  <c r="AJ44" i="92"/>
  <c r="AJ45" i="92" s="1"/>
  <c r="BG44" i="92"/>
  <c r="BG45" i="92" s="1"/>
  <c r="AY44" i="92"/>
  <c r="AY45" i="92" s="1"/>
  <c r="AQ44" i="92"/>
  <c r="BF44" i="92"/>
  <c r="AX44" i="92"/>
  <c r="AP44" i="92"/>
  <c r="AP45" i="92" s="1"/>
  <c r="BM44" i="92"/>
  <c r="BE44" i="92"/>
  <c r="AW44" i="92"/>
  <c r="AO44" i="92"/>
  <c r="AO45" i="92" s="1"/>
  <c r="BL44" i="92"/>
  <c r="BL45" i="92" s="1"/>
  <c r="BD44" i="92"/>
  <c r="AV44" i="92"/>
  <c r="AN44" i="92"/>
  <c r="BK44" i="92"/>
  <c r="BC44" i="92"/>
  <c r="BC45" i="92" s="1"/>
  <c r="AU44" i="92"/>
  <c r="AU45" i="92" s="1"/>
  <c r="AM44" i="92"/>
  <c r="AM45" i="92" s="1"/>
  <c r="BJ44" i="92"/>
  <c r="BJ45" i="92" s="1"/>
  <c r="BB44" i="92"/>
  <c r="AT44" i="92"/>
  <c r="AL44" i="92"/>
  <c r="CR45" i="88"/>
  <c r="CX44" i="90"/>
  <c r="CP44" i="90"/>
  <c r="CG44" i="90"/>
  <c r="CW44" i="90"/>
  <c r="CW45" i="90" s="1"/>
  <c r="CO44" i="90"/>
  <c r="CF44" i="90"/>
  <c r="DD44" i="90"/>
  <c r="CV44" i="90"/>
  <c r="CN44" i="90"/>
  <c r="CE44" i="90"/>
  <c r="DC44" i="90"/>
  <c r="CU44" i="90"/>
  <c r="CM44" i="90"/>
  <c r="CD44" i="90"/>
  <c r="DB44" i="90"/>
  <c r="CT44" i="90"/>
  <c r="CL44" i="90"/>
  <c r="CC44" i="90"/>
  <c r="DA44" i="90"/>
  <c r="CS44" i="90"/>
  <c r="CK44" i="90"/>
  <c r="CB44" i="90"/>
  <c r="CZ44" i="90"/>
  <c r="CR44" i="90"/>
  <c r="CR46" i="90" s="1"/>
  <c r="CJ44" i="90"/>
  <c r="CA44" i="90"/>
  <c r="CY44" i="90"/>
  <c r="CQ44" i="90"/>
  <c r="CQ45" i="90" s="1"/>
  <c r="CH44" i="90"/>
  <c r="CH45" i="90" s="1"/>
  <c r="BI44" i="90"/>
  <c r="BA44" i="90"/>
  <c r="AS44" i="90"/>
  <c r="AJ44" i="90"/>
  <c r="BB44" i="90"/>
  <c r="BH44" i="90"/>
  <c r="AZ44" i="90"/>
  <c r="AZ45" i="90" s="1"/>
  <c r="AQ44" i="90"/>
  <c r="BG44" i="90"/>
  <c r="BG45" i="90" s="1"/>
  <c r="AY44" i="90"/>
  <c r="AP44" i="90"/>
  <c r="BF44" i="90"/>
  <c r="AX44" i="90"/>
  <c r="AO44" i="90"/>
  <c r="AK44" i="90"/>
  <c r="BM44" i="90"/>
  <c r="BE44" i="90"/>
  <c r="BE45" i="90" s="1"/>
  <c r="AW44" i="90"/>
  <c r="AN44" i="90"/>
  <c r="BJ44" i="90"/>
  <c r="BJ45" i="90" s="1"/>
  <c r="BL44" i="90"/>
  <c r="BD44" i="90"/>
  <c r="BD45" i="90" s="1"/>
  <c r="AV44" i="90"/>
  <c r="AV45" i="90" s="1"/>
  <c r="AM44" i="90"/>
  <c r="BK44" i="90"/>
  <c r="BC44" i="90"/>
  <c r="AU44" i="90"/>
  <c r="AL44" i="90"/>
  <c r="AT44" i="90"/>
  <c r="AR44" i="90"/>
  <c r="CI44" i="90"/>
  <c r="AO43" i="83"/>
  <c r="AW43" i="83"/>
  <c r="BE43" i="83"/>
  <c r="BM43" i="83"/>
  <c r="CD43" i="83"/>
  <c r="CL43" i="83"/>
  <c r="CT43" i="83"/>
  <c r="DB43" i="83"/>
  <c r="CM43" i="83"/>
  <c r="DC43" i="83"/>
  <c r="CN43" i="83"/>
  <c r="DD43" i="83"/>
  <c r="AP43" i="83"/>
  <c r="AX43" i="83"/>
  <c r="BF43" i="83"/>
  <c r="CE43" i="83"/>
  <c r="CU43" i="83"/>
  <c r="CF43" i="83"/>
  <c r="CH43" i="83"/>
  <c r="AQ43" i="83"/>
  <c r="AY43" i="83"/>
  <c r="BG43" i="83"/>
  <c r="CV43" i="83"/>
  <c r="AR43" i="83"/>
  <c r="AZ43" i="83"/>
  <c r="BH43" i="83"/>
  <c r="CG43" i="83"/>
  <c r="CO43" i="83"/>
  <c r="CW43" i="83"/>
  <c r="CP43" i="83"/>
  <c r="AK43" i="83"/>
  <c r="AS43" i="83"/>
  <c r="BA43" i="83"/>
  <c r="BI43" i="83"/>
  <c r="BB43" i="83"/>
  <c r="CR43" i="83"/>
  <c r="BC43" i="83"/>
  <c r="CS43" i="83"/>
  <c r="CC43" i="83"/>
  <c r="AL43" i="83"/>
  <c r="BD43" i="83"/>
  <c r="CB43" i="83"/>
  <c r="CX43" i="83"/>
  <c r="CY43" i="83"/>
  <c r="AM43" i="83"/>
  <c r="BJ43" i="83"/>
  <c r="AN43" i="83"/>
  <c r="BK43" i="83"/>
  <c r="CI43" i="83"/>
  <c r="CZ43" i="83"/>
  <c r="DA43" i="83"/>
  <c r="AT43" i="83"/>
  <c r="BL43" i="83"/>
  <c r="CJ43" i="83"/>
  <c r="AU43" i="83"/>
  <c r="CK43" i="83"/>
  <c r="CQ43" i="83"/>
  <c r="AV43" i="83"/>
  <c r="AJ43" i="83"/>
  <c r="CA43" i="83"/>
  <c r="CW43" i="85"/>
  <c r="CO43" i="85"/>
  <c r="CG43" i="85"/>
  <c r="DD43" i="85"/>
  <c r="CV43" i="85"/>
  <c r="CN43" i="85"/>
  <c r="CF43" i="85"/>
  <c r="DC43" i="85"/>
  <c r="CU43" i="85"/>
  <c r="CM43" i="85"/>
  <c r="CE43" i="85"/>
  <c r="DB43" i="85"/>
  <c r="CT43" i="85"/>
  <c r="CL43" i="85"/>
  <c r="CD43" i="85"/>
  <c r="DA43" i="85"/>
  <c r="CS43" i="85"/>
  <c r="CK43" i="85"/>
  <c r="CC43" i="85"/>
  <c r="CZ43" i="85"/>
  <c r="CR43" i="85"/>
  <c r="CJ43" i="85"/>
  <c r="CB43" i="85"/>
  <c r="CH43" i="85"/>
  <c r="CA43" i="85"/>
  <c r="CY43" i="85"/>
  <c r="CX43" i="85"/>
  <c r="CQ43" i="85"/>
  <c r="CP43" i="85"/>
  <c r="CI43" i="85"/>
  <c r="BI43" i="85"/>
  <c r="BA43" i="85"/>
  <c r="AS43" i="85"/>
  <c r="AK43" i="85"/>
  <c r="BH43" i="85"/>
  <c r="AZ43" i="85"/>
  <c r="AR43" i="85"/>
  <c r="AJ43" i="85"/>
  <c r="BG43" i="85"/>
  <c r="AY43" i="85"/>
  <c r="AQ43" i="85"/>
  <c r="BF43" i="85"/>
  <c r="AX43" i="85"/>
  <c r="AP43" i="85"/>
  <c r="BM43" i="85"/>
  <c r="BE43" i="85"/>
  <c r="AW43" i="85"/>
  <c r="AO43" i="85"/>
  <c r="BL43" i="85"/>
  <c r="BD43" i="85"/>
  <c r="AV43" i="85"/>
  <c r="AN43" i="85"/>
  <c r="AT43" i="85"/>
  <c r="AM43" i="85"/>
  <c r="AL43" i="85"/>
  <c r="BK43" i="85"/>
  <c r="BJ43" i="85"/>
  <c r="BC43" i="85"/>
  <c r="BB43" i="85"/>
  <c r="AU43" i="85"/>
  <c r="CW44" i="86"/>
  <c r="CO44" i="86"/>
  <c r="CG44" i="86"/>
  <c r="DD44" i="86"/>
  <c r="CV44" i="86"/>
  <c r="CN44" i="86"/>
  <c r="CF44" i="86"/>
  <c r="DC44" i="86"/>
  <c r="CU44" i="86"/>
  <c r="CM44" i="86"/>
  <c r="CE44" i="86"/>
  <c r="DB44" i="86"/>
  <c r="CT44" i="86"/>
  <c r="CL44" i="86"/>
  <c r="CD44" i="86"/>
  <c r="DA44" i="86"/>
  <c r="CS44" i="86"/>
  <c r="CK44" i="86"/>
  <c r="CC44" i="86"/>
  <c r="CZ44" i="86"/>
  <c r="CR44" i="86"/>
  <c r="CJ44" i="86"/>
  <c r="CB44" i="86"/>
  <c r="CY44" i="86"/>
  <c r="CQ44" i="86"/>
  <c r="CI44" i="86"/>
  <c r="CA44" i="86"/>
  <c r="CX44" i="86"/>
  <c r="CP44" i="86"/>
  <c r="CH44" i="86"/>
  <c r="BK44" i="86"/>
  <c r="BC44" i="86"/>
  <c r="AU44" i="86"/>
  <c r="AM44" i="86"/>
  <c r="BJ44" i="86"/>
  <c r="BB44" i="86"/>
  <c r="AT44" i="86"/>
  <c r="AL44" i="86"/>
  <c r="BI44" i="86"/>
  <c r="BA44" i="86"/>
  <c r="AS44" i="86"/>
  <c r="AK44" i="86"/>
  <c r="BH44" i="86"/>
  <c r="AZ44" i="86"/>
  <c r="AR44" i="86"/>
  <c r="AJ44" i="86"/>
  <c r="BG44" i="86"/>
  <c r="AY44" i="86"/>
  <c r="AQ44" i="86"/>
  <c r="BF44" i="86"/>
  <c r="AX44" i="86"/>
  <c r="AP44" i="86"/>
  <c r="BM44" i="86"/>
  <c r="BE44" i="86"/>
  <c r="AW44" i="86"/>
  <c r="AO44" i="86"/>
  <c r="AV44" i="86"/>
  <c r="AN44" i="86"/>
  <c r="BL44" i="86"/>
  <c r="BD44" i="86"/>
  <c r="DA43" i="84"/>
  <c r="CS43" i="84"/>
  <c r="CK43" i="84"/>
  <c r="CB43" i="84"/>
  <c r="CZ43" i="84"/>
  <c r="CR43" i="84"/>
  <c r="CJ43" i="84"/>
  <c r="CA43" i="84"/>
  <c r="CX43" i="84"/>
  <c r="CN43" i="84"/>
  <c r="CD43" i="84"/>
  <c r="CV43" i="84"/>
  <c r="CL43" i="84"/>
  <c r="CU43" i="84"/>
  <c r="CI43" i="84"/>
  <c r="DD43" i="84"/>
  <c r="CT43" i="84"/>
  <c r="CH43" i="84"/>
  <c r="CP43" i="84"/>
  <c r="CO43" i="84"/>
  <c r="CM43" i="84"/>
  <c r="DC43" i="84"/>
  <c r="CG43" i="84"/>
  <c r="DB43" i="84"/>
  <c r="CF43" i="84"/>
  <c r="CE43" i="84"/>
  <c r="CY43" i="84"/>
  <c r="CW43" i="84"/>
  <c r="CQ43" i="84"/>
  <c r="BF43" i="84"/>
  <c r="AX43" i="84"/>
  <c r="AP43" i="84"/>
  <c r="BJ43" i="84"/>
  <c r="BA43" i="84"/>
  <c r="AR43" i="84"/>
  <c r="BI43" i="84"/>
  <c r="AZ43" i="84"/>
  <c r="AQ43" i="84"/>
  <c r="BE43" i="84"/>
  <c r="AT43" i="84"/>
  <c r="BD43" i="84"/>
  <c r="AS43" i="84"/>
  <c r="BC43" i="84"/>
  <c r="AO43" i="84"/>
  <c r="BM43" i="84"/>
  <c r="BB43" i="84"/>
  <c r="AN43" i="84"/>
  <c r="BL43" i="84"/>
  <c r="AY43" i="84"/>
  <c r="AM43" i="84"/>
  <c r="BK43" i="84"/>
  <c r="AW43" i="84"/>
  <c r="AK43" i="84"/>
  <c r="BH43" i="84"/>
  <c r="AV43" i="84"/>
  <c r="AJ43" i="84"/>
  <c r="BG43" i="84"/>
  <c r="AU43" i="84"/>
  <c r="AL43" i="84"/>
  <c r="C36" i="43"/>
  <c r="A26" i="46"/>
  <c r="CI45" i="92"/>
  <c r="BG36" i="43"/>
  <c r="A26" i="95"/>
  <c r="A11" i="94"/>
  <c r="C19" i="82"/>
  <c r="B20" i="82" s="1"/>
  <c r="CU45" i="90"/>
  <c r="DC45" i="90"/>
  <c r="CV45" i="90"/>
  <c r="DD45" i="90"/>
  <c r="CX45" i="90"/>
  <c r="CY45" i="90"/>
  <c r="DA45" i="90"/>
  <c r="DB45" i="90"/>
  <c r="CK45" i="92"/>
  <c r="Q35" i="43"/>
  <c r="B25" i="47" s="1"/>
  <c r="AS35" i="43"/>
  <c r="B25" i="48" s="1"/>
  <c r="AE35" i="43"/>
  <c r="B25" i="49" s="1"/>
  <c r="DE42" i="83"/>
  <c r="CR45" i="92"/>
  <c r="AX45" i="92"/>
  <c r="AT45" i="92"/>
  <c r="BF45" i="92"/>
  <c r="BH45" i="92"/>
  <c r="BK45" i="92"/>
  <c r="BD45" i="92"/>
  <c r="CW45" i="92"/>
  <c r="DB45" i="92"/>
  <c r="BE45" i="92"/>
  <c r="BM45" i="92"/>
  <c r="CV45" i="92"/>
  <c r="DD45" i="92"/>
  <c r="CT45" i="92"/>
  <c r="CA45" i="92"/>
  <c r="X31" i="23"/>
  <c r="AD31" i="24" s="1"/>
  <c r="T31" i="23"/>
  <c r="Y31" i="24" s="1"/>
  <c r="P30" i="23"/>
  <c r="T30" i="24" s="1"/>
  <c r="BN42" i="83"/>
  <c r="BN42" i="88"/>
  <c r="K42" i="88" s="1"/>
  <c r="CM45" i="92"/>
  <c r="D44" i="90"/>
  <c r="BM45" i="90"/>
  <c r="BF45" i="90"/>
  <c r="BL45" i="90"/>
  <c r="BK45" i="90"/>
  <c r="BH45" i="90"/>
  <c r="BI45" i="90"/>
  <c r="BN43" i="91"/>
  <c r="K43" i="91" s="1"/>
  <c r="BN42" i="89"/>
  <c r="K42" i="89" s="1"/>
  <c r="BN43" i="87"/>
  <c r="K43" i="87" s="1"/>
  <c r="CQ45" i="92"/>
  <c r="AN45" i="92"/>
  <c r="AS45" i="92"/>
  <c r="BN43" i="86"/>
  <c r="K43" i="86" s="1"/>
  <c r="Z32" i="25"/>
  <c r="AS32" i="23"/>
  <c r="B44" i="93"/>
  <c r="A45" i="93"/>
  <c r="AA31" i="25"/>
  <c r="D43" i="93"/>
  <c r="AT31" i="23"/>
  <c r="AD30" i="25"/>
  <c r="AV30" i="23"/>
  <c r="B45" i="91"/>
  <c r="AK33" i="23"/>
  <c r="P33" i="25"/>
  <c r="AC32" i="23"/>
  <c r="F32" i="25"/>
  <c r="B45" i="87"/>
  <c r="D45" i="87" s="1"/>
  <c r="U33" i="23"/>
  <c r="Z33" i="24"/>
  <c r="B45" i="86"/>
  <c r="V33" i="24" s="1"/>
  <c r="U33" i="24"/>
  <c r="Q33" i="23"/>
  <c r="N31" i="23"/>
  <c r="Q31" i="24"/>
  <c r="D43" i="85"/>
  <c r="B44" i="85"/>
  <c r="P32" i="24"/>
  <c r="M32" i="23"/>
  <c r="I32" i="23"/>
  <c r="K32" i="24"/>
  <c r="F32" i="24"/>
  <c r="E32" i="23"/>
  <c r="R32" i="23"/>
  <c r="V32" i="24"/>
  <c r="R33" i="23"/>
  <c r="L31" i="24"/>
  <c r="J31" i="23"/>
  <c r="F31" i="23"/>
  <c r="G31" i="24"/>
  <c r="BB45" i="92"/>
  <c r="CT43" i="88"/>
  <c r="CT44" i="88" s="1"/>
  <c r="CL43" i="88"/>
  <c r="CL44" i="88" s="1"/>
  <c r="CC43" i="88"/>
  <c r="CP43" i="88"/>
  <c r="CP44" i="88" s="1"/>
  <c r="CG43" i="88"/>
  <c r="CG44" i="88" s="1"/>
  <c r="CO43" i="88"/>
  <c r="CO44" i="88" s="1"/>
  <c r="CF43" i="88"/>
  <c r="CF44" i="88" s="1"/>
  <c r="CN43" i="88"/>
  <c r="CN44" i="88" s="1"/>
  <c r="CE43" i="88"/>
  <c r="CM43" i="88"/>
  <c r="CM44" i="88" s="1"/>
  <c r="CK43" i="88"/>
  <c r="CK44" i="88" s="1"/>
  <c r="CJ43" i="88"/>
  <c r="CJ44" i="88" s="1"/>
  <c r="CI43" i="88"/>
  <c r="CI44" i="88" s="1"/>
  <c r="CR43" i="88"/>
  <c r="CR44" i="88" s="1"/>
  <c r="CA43" i="88"/>
  <c r="CA44" i="88" s="1"/>
  <c r="CS43" i="88"/>
  <c r="CS44" i="88" s="1"/>
  <c r="CQ43" i="88"/>
  <c r="CQ44" i="88" s="1"/>
  <c r="CH43" i="88"/>
  <c r="CH44" i="88" s="1"/>
  <c r="CB43" i="88"/>
  <c r="AX43" i="88"/>
  <c r="AX44" i="88" s="1"/>
  <c r="AP43" i="88"/>
  <c r="AP44" i="88" s="1"/>
  <c r="BC43" i="88"/>
  <c r="BC44" i="88" s="1"/>
  <c r="AU43" i="88"/>
  <c r="AU44" i="88" s="1"/>
  <c r="AL43" i="88"/>
  <c r="AL44" i="88" s="1"/>
  <c r="BA43" i="88"/>
  <c r="BA44" i="88" s="1"/>
  <c r="AQ43" i="88"/>
  <c r="AQ44" i="88" s="1"/>
  <c r="AZ43" i="88"/>
  <c r="AZ44" i="88" s="1"/>
  <c r="AO43" i="88"/>
  <c r="AO44" i="88" s="1"/>
  <c r="AY43" i="88"/>
  <c r="AY44" i="88" s="1"/>
  <c r="AN43" i="88"/>
  <c r="AN44" i="88" s="1"/>
  <c r="AW43" i="88"/>
  <c r="AW44" i="88" s="1"/>
  <c r="AK43" i="88"/>
  <c r="AV43" i="88"/>
  <c r="AV44" i="88" s="1"/>
  <c r="AJ43" i="88"/>
  <c r="AS43" i="88"/>
  <c r="AS44" i="88" s="1"/>
  <c r="AT43" i="88"/>
  <c r="AT44" i="88" s="1"/>
  <c r="AR43" i="88"/>
  <c r="AR44" i="88" s="1"/>
  <c r="BB43" i="88"/>
  <c r="BB44" i="88" s="1"/>
  <c r="AM43" i="88"/>
  <c r="AM44" i="88" s="1"/>
  <c r="CD43" i="88"/>
  <c r="CD44" i="88" s="1"/>
  <c r="J30" i="25"/>
  <c r="AF30" i="23"/>
  <c r="AN31" i="23"/>
  <c r="T31" i="25"/>
  <c r="AV45" i="92"/>
  <c r="G31" i="25"/>
  <c r="AD31" i="23"/>
  <c r="Q32" i="25"/>
  <c r="AL32" i="23"/>
  <c r="CS45" i="90"/>
  <c r="CK45" i="90"/>
  <c r="CA45" i="90"/>
  <c r="CL45" i="90"/>
  <c r="CT45" i="90"/>
  <c r="CJ45" i="90"/>
  <c r="CI45" i="90"/>
  <c r="CR45" i="90"/>
  <c r="CF45" i="90"/>
  <c r="CP45" i="90"/>
  <c r="CD45" i="90"/>
  <c r="CO45" i="90"/>
  <c r="CN45" i="90"/>
  <c r="CM45" i="90"/>
  <c r="BB45" i="90"/>
  <c r="AT45" i="90"/>
  <c r="AQ45" i="90"/>
  <c r="AY45" i="90"/>
  <c r="AO45" i="90"/>
  <c r="AX45" i="90"/>
  <c r="AN45" i="90"/>
  <c r="AW45" i="90"/>
  <c r="AM45" i="90"/>
  <c r="AL45" i="90"/>
  <c r="AU45" i="90"/>
  <c r="BA45" i="90"/>
  <c r="AS45" i="90"/>
  <c r="AR45" i="90"/>
  <c r="BC45" i="90"/>
  <c r="AP45" i="90"/>
  <c r="CG45" i="90"/>
  <c r="AW45" i="92"/>
  <c r="Y32" i="25"/>
  <c r="AR32" i="23"/>
  <c r="V32" i="23"/>
  <c r="AA32" i="24"/>
  <c r="Y31" i="25"/>
  <c r="AR31" i="23"/>
  <c r="AL45" i="92"/>
  <c r="O32" i="25"/>
  <c r="AJ32" i="23"/>
  <c r="AH32" i="23"/>
  <c r="L32" i="25"/>
  <c r="AJ31" i="23"/>
  <c r="O31" i="25"/>
  <c r="AB30" i="23"/>
  <c r="E30" i="25"/>
  <c r="B31" i="25"/>
  <c r="Z31" i="23"/>
  <c r="D45" i="91"/>
  <c r="D44" i="91"/>
  <c r="B44" i="89"/>
  <c r="A45" i="89"/>
  <c r="D43" i="89"/>
  <c r="BO42" i="89"/>
  <c r="D43" i="88"/>
  <c r="BO43" i="87"/>
  <c r="D44" i="87"/>
  <c r="T32" i="23"/>
  <c r="Y32" i="24" s="1"/>
  <c r="D43" i="84"/>
  <c r="L31" i="23" s="1"/>
  <c r="O31" i="24" s="1"/>
  <c r="A45" i="84"/>
  <c r="B44" i="84"/>
  <c r="D43" i="83"/>
  <c r="H31" i="23" s="1"/>
  <c r="J31" i="24" s="1"/>
  <c r="B44" i="83"/>
  <c r="F57" i="50"/>
  <c r="H20" i="50"/>
  <c r="H57" i="50" s="1"/>
  <c r="U51" i="41"/>
  <c r="T51" i="41"/>
  <c r="DC45" i="92" l="1"/>
  <c r="CJ46" i="90"/>
  <c r="CA46" i="90"/>
  <c r="CU46" i="92"/>
  <c r="CW46" i="92"/>
  <c r="CB46" i="92"/>
  <c r="CH46" i="92"/>
  <c r="CJ46" i="92"/>
  <c r="CD46" i="92"/>
  <c r="CF46" i="92"/>
  <c r="CP46" i="92"/>
  <c r="CR46" i="92"/>
  <c r="CL46" i="92"/>
  <c r="CN46" i="92"/>
  <c r="CX46" i="92"/>
  <c r="CZ46" i="92"/>
  <c r="CT46" i="92"/>
  <c r="CV46" i="92"/>
  <c r="CA46" i="92"/>
  <c r="CC46" i="92"/>
  <c r="DB46" i="92"/>
  <c r="DD46" i="92"/>
  <c r="CI46" i="92"/>
  <c r="CK46" i="92"/>
  <c r="CE46" i="92"/>
  <c r="CG46" i="92"/>
  <c r="CQ46" i="92"/>
  <c r="CM46" i="92"/>
  <c r="CY46" i="92"/>
  <c r="CY46" i="90"/>
  <c r="DA46" i="90"/>
  <c r="DC46" i="90"/>
  <c r="CG46" i="90"/>
  <c r="CC46" i="90"/>
  <c r="CE46" i="90"/>
  <c r="CP46" i="90"/>
  <c r="CL46" i="90"/>
  <c r="CN46" i="90"/>
  <c r="CX46" i="90"/>
  <c r="CT46" i="90"/>
  <c r="CV46" i="90"/>
  <c r="CZ46" i="90"/>
  <c r="DB46" i="90"/>
  <c r="DD46" i="90"/>
  <c r="CB46" i="90"/>
  <c r="CD46" i="90"/>
  <c r="CF46" i="90"/>
  <c r="CH46" i="90"/>
  <c r="CK46" i="90"/>
  <c r="CM46" i="90"/>
  <c r="CO46" i="90"/>
  <c r="CI46" i="90"/>
  <c r="CS46" i="90"/>
  <c r="CU46" i="90"/>
  <c r="BJ45" i="91"/>
  <c r="BB45" i="91"/>
  <c r="AT45" i="91"/>
  <c r="AL45" i="91"/>
  <c r="BI45" i="91"/>
  <c r="BA45" i="91"/>
  <c r="AS45" i="91"/>
  <c r="AK45" i="91"/>
  <c r="BH45" i="91"/>
  <c r="AZ45" i="91"/>
  <c r="AR45" i="91"/>
  <c r="AJ45" i="91"/>
  <c r="BG45" i="91"/>
  <c r="AY45" i="91"/>
  <c r="AQ45" i="91"/>
  <c r="BF45" i="91"/>
  <c r="AX45" i="91"/>
  <c r="AP45" i="91"/>
  <c r="BM45" i="91"/>
  <c r="BE45" i="91"/>
  <c r="AW45" i="91"/>
  <c r="AO45" i="91"/>
  <c r="BL45" i="91"/>
  <c r="BD45" i="91"/>
  <c r="AV45" i="91"/>
  <c r="AN45" i="91"/>
  <c r="BK45" i="91"/>
  <c r="BC45" i="91"/>
  <c r="AU45" i="91"/>
  <c r="AM45" i="91"/>
  <c r="DB45" i="91"/>
  <c r="DB47" i="91" s="1"/>
  <c r="CT45" i="91"/>
  <c r="CT47" i="91" s="1"/>
  <c r="CL45" i="91"/>
  <c r="CL47" i="91" s="1"/>
  <c r="CD45" i="91"/>
  <c r="DA45" i="91"/>
  <c r="DA47" i="91" s="1"/>
  <c r="CS45" i="91"/>
  <c r="CS47" i="91" s="1"/>
  <c r="CK45" i="91"/>
  <c r="CK47" i="91" s="1"/>
  <c r="CC45" i="91"/>
  <c r="CC47" i="91" s="1"/>
  <c r="CZ45" i="91"/>
  <c r="CZ47" i="91" s="1"/>
  <c r="CR45" i="91"/>
  <c r="CR47" i="91" s="1"/>
  <c r="CJ45" i="91"/>
  <c r="CJ47" i="91" s="1"/>
  <c r="CB45" i="91"/>
  <c r="CY45" i="91"/>
  <c r="CY47" i="91" s="1"/>
  <c r="CQ45" i="91"/>
  <c r="CQ47" i="91" s="1"/>
  <c r="CI45" i="91"/>
  <c r="CA45" i="91"/>
  <c r="CA47" i="91" s="1"/>
  <c r="CX45" i="91"/>
  <c r="CX47" i="91" s="1"/>
  <c r="CP45" i="91"/>
  <c r="CH45" i="91"/>
  <c r="CH47" i="91" s="1"/>
  <c r="CW45" i="91"/>
  <c r="CW47" i="91" s="1"/>
  <c r="CO45" i="91"/>
  <c r="CO47" i="91" s="1"/>
  <c r="CG45" i="91"/>
  <c r="CF45" i="91"/>
  <c r="CF47" i="91" s="1"/>
  <c r="CE45" i="91"/>
  <c r="CE47" i="91" s="1"/>
  <c r="DD45" i="91"/>
  <c r="DD47" i="91" s="1"/>
  <c r="DC45" i="91"/>
  <c r="DC47" i="91" s="1"/>
  <c r="CV45" i="91"/>
  <c r="CV47" i="91" s="1"/>
  <c r="CU45" i="91"/>
  <c r="CU47" i="91" s="1"/>
  <c r="CN45" i="91"/>
  <c r="CN47" i="91" s="1"/>
  <c r="CM45" i="91"/>
  <c r="CM47" i="91" s="1"/>
  <c r="DA46" i="92"/>
  <c r="CO46" i="92"/>
  <c r="CS46" i="92"/>
  <c r="DD45" i="87"/>
  <c r="DD47" i="87" s="1"/>
  <c r="CV45" i="87"/>
  <c r="CV47" i="87" s="1"/>
  <c r="CN45" i="87"/>
  <c r="CN47" i="87" s="1"/>
  <c r="CF45" i="87"/>
  <c r="DC45" i="87"/>
  <c r="DC47" i="87" s="1"/>
  <c r="CU45" i="87"/>
  <c r="CU47" i="87" s="1"/>
  <c r="CM45" i="87"/>
  <c r="CM47" i="87" s="1"/>
  <c r="CE45" i="87"/>
  <c r="DB45" i="87"/>
  <c r="DB47" i="87" s="1"/>
  <c r="CT45" i="87"/>
  <c r="CT47" i="87" s="1"/>
  <c r="CL45" i="87"/>
  <c r="CL47" i="87" s="1"/>
  <c r="CD45" i="87"/>
  <c r="DA45" i="87"/>
  <c r="DA47" i="87" s="1"/>
  <c r="CS45" i="87"/>
  <c r="CS47" i="87" s="1"/>
  <c r="CK45" i="87"/>
  <c r="CK47" i="87" s="1"/>
  <c r="CC45" i="87"/>
  <c r="CZ45" i="87"/>
  <c r="CZ47" i="87" s="1"/>
  <c r="CR45" i="87"/>
  <c r="CR47" i="87" s="1"/>
  <c r="CJ45" i="87"/>
  <c r="CJ47" i="87" s="1"/>
  <c r="CB45" i="87"/>
  <c r="CY45" i="87"/>
  <c r="CY47" i="87" s="1"/>
  <c r="CQ45" i="87"/>
  <c r="CQ47" i="87" s="1"/>
  <c r="CI45" i="87"/>
  <c r="CA45" i="87"/>
  <c r="CX45" i="87"/>
  <c r="CX47" i="87" s="1"/>
  <c r="CP45" i="87"/>
  <c r="CP47" i="87" s="1"/>
  <c r="CH45" i="87"/>
  <c r="CW45" i="87"/>
  <c r="CW47" i="87" s="1"/>
  <c r="CO45" i="87"/>
  <c r="CO47" i="87" s="1"/>
  <c r="CG45" i="87"/>
  <c r="BM45" i="87"/>
  <c r="BE45" i="87"/>
  <c r="AW45" i="87"/>
  <c r="AO45" i="87"/>
  <c r="BL45" i="87"/>
  <c r="BD45" i="87"/>
  <c r="AV45" i="87"/>
  <c r="AN45" i="87"/>
  <c r="BK45" i="87"/>
  <c r="BC45" i="87"/>
  <c r="AU45" i="87"/>
  <c r="AM45" i="87"/>
  <c r="BJ45" i="87"/>
  <c r="BB45" i="87"/>
  <c r="AT45" i="87"/>
  <c r="AL45" i="87"/>
  <c r="BI45" i="87"/>
  <c r="BA45" i="87"/>
  <c r="AS45" i="87"/>
  <c r="AK45" i="87"/>
  <c r="BH45" i="87"/>
  <c r="AZ45" i="87"/>
  <c r="AR45" i="87"/>
  <c r="AJ45" i="87"/>
  <c r="BG45" i="87"/>
  <c r="AY45" i="87"/>
  <c r="AQ45" i="87"/>
  <c r="AX45" i="87"/>
  <c r="AP45" i="87"/>
  <c r="AP46" i="87" s="1"/>
  <c r="BF45" i="87"/>
  <c r="CW46" i="90"/>
  <c r="CP45" i="92"/>
  <c r="CZ45" i="90"/>
  <c r="CQ46" i="90"/>
  <c r="AA33" i="24"/>
  <c r="V33" i="23"/>
  <c r="BO44" i="92"/>
  <c r="BN44" i="92"/>
  <c r="CX44" i="89"/>
  <c r="CP44" i="89"/>
  <c r="CH44" i="89"/>
  <c r="CW44" i="89"/>
  <c r="CO44" i="89"/>
  <c r="CG44" i="89"/>
  <c r="DC44" i="89"/>
  <c r="CU44" i="89"/>
  <c r="CM44" i="89"/>
  <c r="CE44" i="89"/>
  <c r="DB44" i="89"/>
  <c r="CT44" i="89"/>
  <c r="CL44" i="89"/>
  <c r="CD44" i="89"/>
  <c r="DA44" i="89"/>
  <c r="CS44" i="89"/>
  <c r="CK44" i="89"/>
  <c r="CC44" i="89"/>
  <c r="DD44" i="89"/>
  <c r="CI44" i="89"/>
  <c r="CZ44" i="89"/>
  <c r="CF44" i="89"/>
  <c r="CY44" i="89"/>
  <c r="CB44" i="89"/>
  <c r="CV44" i="89"/>
  <c r="CR44" i="89"/>
  <c r="CQ44" i="89"/>
  <c r="CN44" i="89"/>
  <c r="CJ44" i="89"/>
  <c r="BM44" i="89"/>
  <c r="BE44" i="89"/>
  <c r="AW44" i="89"/>
  <c r="AO44" i="89"/>
  <c r="BL44" i="89"/>
  <c r="BD44" i="89"/>
  <c r="AV44" i="89"/>
  <c r="AN44" i="89"/>
  <c r="BK44" i="89"/>
  <c r="BC44" i="89"/>
  <c r="AU44" i="89"/>
  <c r="AM44" i="89"/>
  <c r="BI44" i="89"/>
  <c r="BA44" i="89"/>
  <c r="AS44" i="89"/>
  <c r="AK44" i="89"/>
  <c r="BG44" i="89"/>
  <c r="AY44" i="89"/>
  <c r="AQ44" i="89"/>
  <c r="BF44" i="89"/>
  <c r="AX44" i="89"/>
  <c r="AP44" i="89"/>
  <c r="AL44" i="89"/>
  <c r="BJ44" i="89"/>
  <c r="BH44" i="89"/>
  <c r="BB44" i="89"/>
  <c r="AZ44" i="89"/>
  <c r="AT44" i="89"/>
  <c r="AR44" i="89"/>
  <c r="AJ44" i="89"/>
  <c r="CA44" i="89"/>
  <c r="DC44" i="93"/>
  <c r="CU44" i="93"/>
  <c r="CM44" i="93"/>
  <c r="CE44" i="93"/>
  <c r="DB44" i="93"/>
  <c r="CT44" i="93"/>
  <c r="CL44" i="93"/>
  <c r="CD44" i="93"/>
  <c r="DA44" i="93"/>
  <c r="CS44" i="93"/>
  <c r="CK44" i="93"/>
  <c r="CC44" i="93"/>
  <c r="CZ44" i="93"/>
  <c r="CR44" i="93"/>
  <c r="CJ44" i="93"/>
  <c r="CB44" i="93"/>
  <c r="CY44" i="93"/>
  <c r="CQ44" i="93"/>
  <c r="CI44" i="93"/>
  <c r="CA44" i="93"/>
  <c r="CX44" i="93"/>
  <c r="CP44" i="93"/>
  <c r="CH44" i="93"/>
  <c r="CW44" i="93"/>
  <c r="CO44" i="93"/>
  <c r="CG44" i="93"/>
  <c r="CV44" i="93"/>
  <c r="CN44" i="93"/>
  <c r="CF44" i="93"/>
  <c r="DD44" i="93"/>
  <c r="BK44" i="93"/>
  <c r="BC44" i="93"/>
  <c r="AU44" i="93"/>
  <c r="BF44" i="93"/>
  <c r="AW44" i="93"/>
  <c r="AN44" i="93"/>
  <c r="BE44" i="93"/>
  <c r="AV44" i="93"/>
  <c r="AM44" i="93"/>
  <c r="BM44" i="93"/>
  <c r="BD44" i="93"/>
  <c r="AT44" i="93"/>
  <c r="AL44" i="93"/>
  <c r="BJ44" i="93"/>
  <c r="BA44" i="93"/>
  <c r="AR44" i="93"/>
  <c r="AJ44" i="93"/>
  <c r="BH44" i="93"/>
  <c r="AY44" i="93"/>
  <c r="AP44" i="93"/>
  <c r="BG44" i="93"/>
  <c r="AX44" i="93"/>
  <c r="AO44" i="93"/>
  <c r="AK44" i="93"/>
  <c r="BL44" i="93"/>
  <c r="BI44" i="93"/>
  <c r="BB44" i="93"/>
  <c r="AZ44" i="93"/>
  <c r="AS44" i="93"/>
  <c r="AQ44" i="93"/>
  <c r="CY45" i="92"/>
  <c r="CF45" i="92"/>
  <c r="CY45" i="86"/>
  <c r="CQ45" i="86"/>
  <c r="CQ46" i="86" s="1"/>
  <c r="CI45" i="86"/>
  <c r="CA45" i="86"/>
  <c r="CA46" i="86" s="1"/>
  <c r="CX45" i="86"/>
  <c r="CP45" i="86"/>
  <c r="CP46" i="86" s="1"/>
  <c r="CH45" i="86"/>
  <c r="CW45" i="86"/>
  <c r="CO45" i="86"/>
  <c r="CG45" i="86"/>
  <c r="DD45" i="86"/>
  <c r="DD47" i="86" s="1"/>
  <c r="CV45" i="86"/>
  <c r="CN45" i="86"/>
  <c r="CF45" i="86"/>
  <c r="DC45" i="86"/>
  <c r="CU45" i="86"/>
  <c r="CM45" i="86"/>
  <c r="CE45" i="86"/>
  <c r="DB45" i="86"/>
  <c r="DB47" i="86" s="1"/>
  <c r="CT45" i="86"/>
  <c r="CT46" i="86" s="1"/>
  <c r="CL45" i="86"/>
  <c r="CD45" i="86"/>
  <c r="DA45" i="86"/>
  <c r="CS45" i="86"/>
  <c r="CK45" i="86"/>
  <c r="CC45" i="86"/>
  <c r="CZ45" i="86"/>
  <c r="CZ46" i="86" s="1"/>
  <c r="CR45" i="86"/>
  <c r="CJ45" i="86"/>
  <c r="CJ47" i="86" s="1"/>
  <c r="CB45" i="86"/>
  <c r="BM45" i="86"/>
  <c r="BE45" i="86"/>
  <c r="AW45" i="86"/>
  <c r="AO45" i="86"/>
  <c r="AO46" i="86" s="1"/>
  <c r="BL45" i="86"/>
  <c r="BL46" i="86" s="1"/>
  <c r="BD45" i="86"/>
  <c r="AV45" i="86"/>
  <c r="AN45" i="86"/>
  <c r="BK45" i="86"/>
  <c r="BC45" i="86"/>
  <c r="AU45" i="86"/>
  <c r="AM45" i="86"/>
  <c r="BJ45" i="86"/>
  <c r="BJ46" i="86" s="1"/>
  <c r="BB45" i="86"/>
  <c r="CS47" i="86" s="1"/>
  <c r="AT45" i="86"/>
  <c r="AL45" i="86"/>
  <c r="BI45" i="86"/>
  <c r="BA45" i="86"/>
  <c r="AS45" i="86"/>
  <c r="AK45" i="86"/>
  <c r="BH45" i="86"/>
  <c r="BH46" i="86" s="1"/>
  <c r="AZ45" i="86"/>
  <c r="AR45" i="86"/>
  <c r="AJ45" i="86"/>
  <c r="AJ46" i="86" s="1"/>
  <c r="BG45" i="86"/>
  <c r="AY45" i="86"/>
  <c r="AQ45" i="86"/>
  <c r="BF45" i="86"/>
  <c r="BF46" i="86" s="1"/>
  <c r="AX45" i="86"/>
  <c r="AP45" i="86"/>
  <c r="DD44" i="84"/>
  <c r="CV44" i="84"/>
  <c r="CN44" i="84"/>
  <c r="CF44" i="84"/>
  <c r="DC44" i="84"/>
  <c r="CU44" i="84"/>
  <c r="CM44" i="84"/>
  <c r="CE44" i="84"/>
  <c r="DA44" i="84"/>
  <c r="CQ44" i="84"/>
  <c r="CG44" i="84"/>
  <c r="CY44" i="84"/>
  <c r="CO44" i="84"/>
  <c r="CB44" i="84"/>
  <c r="CX44" i="84"/>
  <c r="CL44" i="84"/>
  <c r="CA44" i="84"/>
  <c r="CW44" i="84"/>
  <c r="CK44" i="84"/>
  <c r="CI44" i="84"/>
  <c r="DB44" i="84"/>
  <c r="CH44" i="84"/>
  <c r="CZ44" i="84"/>
  <c r="CC44" i="84"/>
  <c r="CT44" i="84"/>
  <c r="CS44" i="84"/>
  <c r="CR44" i="84"/>
  <c r="CP44" i="84"/>
  <c r="CJ44" i="84"/>
  <c r="BI44" i="84"/>
  <c r="BA44" i="84"/>
  <c r="AS44" i="84"/>
  <c r="AJ44" i="84"/>
  <c r="BH44" i="84"/>
  <c r="AY44" i="84"/>
  <c r="AP44" i="84"/>
  <c r="BG44" i="84"/>
  <c r="AX44" i="84"/>
  <c r="AO44" i="84"/>
  <c r="BM44" i="84"/>
  <c r="BB44" i="84"/>
  <c r="AN44" i="84"/>
  <c r="BL44" i="84"/>
  <c r="AZ44" i="84"/>
  <c r="AL44" i="84"/>
  <c r="BK44" i="84"/>
  <c r="AW44" i="84"/>
  <c r="AK44" i="84"/>
  <c r="BJ44" i="84"/>
  <c r="AV44" i="84"/>
  <c r="BF44" i="84"/>
  <c r="AU44" i="84"/>
  <c r="BE44" i="84"/>
  <c r="AT44" i="84"/>
  <c r="BD44" i="84"/>
  <c r="AR44" i="84"/>
  <c r="BC44" i="84"/>
  <c r="AQ44" i="84"/>
  <c r="AM44" i="84"/>
  <c r="CD44" i="84"/>
  <c r="CY44" i="85"/>
  <c r="CQ44" i="85"/>
  <c r="CI44" i="85"/>
  <c r="CA44" i="85"/>
  <c r="CX44" i="85"/>
  <c r="CX45" i="85" s="1"/>
  <c r="CP44" i="85"/>
  <c r="CH44" i="85"/>
  <c r="CH45" i="85" s="1"/>
  <c r="CW44" i="85"/>
  <c r="CO44" i="85"/>
  <c r="CG44" i="85"/>
  <c r="DD44" i="85"/>
  <c r="CV44" i="85"/>
  <c r="CN44" i="85"/>
  <c r="CF44" i="85"/>
  <c r="DC44" i="85"/>
  <c r="CU44" i="85"/>
  <c r="CM44" i="85"/>
  <c r="CE44" i="85"/>
  <c r="DB44" i="85"/>
  <c r="DB46" i="85" s="1"/>
  <c r="CT44" i="85"/>
  <c r="CT46" i="85" s="1"/>
  <c r="CL44" i="85"/>
  <c r="CD44" i="85"/>
  <c r="CD45" i="85" s="1"/>
  <c r="CJ44" i="85"/>
  <c r="CJ46" i="85" s="1"/>
  <c r="CC44" i="85"/>
  <c r="CB44" i="85"/>
  <c r="DA44" i="85"/>
  <c r="CZ44" i="85"/>
  <c r="CZ46" i="85" s="1"/>
  <c r="CS44" i="85"/>
  <c r="CR44" i="85"/>
  <c r="CR46" i="85" s="1"/>
  <c r="CK44" i="85"/>
  <c r="BK44" i="85"/>
  <c r="BC44" i="85"/>
  <c r="AU44" i="85"/>
  <c r="AM44" i="85"/>
  <c r="AM45" i="85" s="1"/>
  <c r="BJ44" i="85"/>
  <c r="BB44" i="85"/>
  <c r="AT44" i="85"/>
  <c r="AL44" i="85"/>
  <c r="BI44" i="85"/>
  <c r="BA44" i="85"/>
  <c r="AS44" i="85"/>
  <c r="AK44" i="85"/>
  <c r="BH44" i="85"/>
  <c r="AZ44" i="85"/>
  <c r="AR44" i="85"/>
  <c r="AJ44" i="85"/>
  <c r="BG44" i="85"/>
  <c r="AY44" i="85"/>
  <c r="CP46" i="85" s="1"/>
  <c r="AQ44" i="85"/>
  <c r="BF44" i="85"/>
  <c r="AX44" i="85"/>
  <c r="AP44" i="85"/>
  <c r="AP45" i="85" s="1"/>
  <c r="AV44" i="85"/>
  <c r="AV45" i="85" s="1"/>
  <c r="AO44" i="85"/>
  <c r="AO45" i="85" s="1"/>
  <c r="AN44" i="85"/>
  <c r="BM44" i="85"/>
  <c r="BL44" i="85"/>
  <c r="BE44" i="85"/>
  <c r="BD44" i="85"/>
  <c r="AW44" i="85"/>
  <c r="AR44" i="83"/>
  <c r="AR45" i="83" s="1"/>
  <c r="AZ44" i="83"/>
  <c r="BH44" i="83"/>
  <c r="CG44" i="83"/>
  <c r="CO44" i="83"/>
  <c r="CW44" i="83"/>
  <c r="CH44" i="83"/>
  <c r="CH45" i="83" s="1"/>
  <c r="CX44" i="83"/>
  <c r="AL44" i="83"/>
  <c r="AJ44" i="83"/>
  <c r="AS44" i="83"/>
  <c r="AS45" i="83" s="1"/>
  <c r="BA44" i="83"/>
  <c r="BI44" i="83"/>
  <c r="CP44" i="83"/>
  <c r="AT44" i="83"/>
  <c r="CI44" i="83"/>
  <c r="CY44" i="83"/>
  <c r="CY45" i="83" s="1"/>
  <c r="BB44" i="83"/>
  <c r="BJ44" i="83"/>
  <c r="CQ44" i="83"/>
  <c r="CQ46" i="83" s="1"/>
  <c r="AM44" i="83"/>
  <c r="AM45" i="83" s="1"/>
  <c r="AU44" i="83"/>
  <c r="BC44" i="83"/>
  <c r="BK44" i="83"/>
  <c r="CA44" i="83"/>
  <c r="CJ44" i="83"/>
  <c r="CR44" i="83"/>
  <c r="CR46" i="83" s="1"/>
  <c r="CZ44" i="83"/>
  <c r="CZ46" i="83" s="1"/>
  <c r="AN44" i="83"/>
  <c r="AN45" i="83" s="1"/>
  <c r="AV44" i="83"/>
  <c r="BD44" i="83"/>
  <c r="BL44" i="83"/>
  <c r="AQ44" i="83"/>
  <c r="AQ45" i="83" s="1"/>
  <c r="CE44" i="83"/>
  <c r="CE46" i="83" s="1"/>
  <c r="CU44" i="83"/>
  <c r="CU46" i="83" s="1"/>
  <c r="CF44" i="83"/>
  <c r="DB44" i="83"/>
  <c r="DB46" i="83" s="1"/>
  <c r="CC44" i="83"/>
  <c r="AW44" i="83"/>
  <c r="CV44" i="83"/>
  <c r="CD44" i="83"/>
  <c r="AX44" i="83"/>
  <c r="CK44" i="83"/>
  <c r="CK46" i="83" s="1"/>
  <c r="DA44" i="83"/>
  <c r="DA46" i="83" s="1"/>
  <c r="AY44" i="83"/>
  <c r="CL44" i="83"/>
  <c r="CL46" i="83" s="1"/>
  <c r="CT44" i="83"/>
  <c r="CT46" i="83" s="1"/>
  <c r="BE44" i="83"/>
  <c r="CM44" i="83"/>
  <c r="CM46" i="83" s="1"/>
  <c r="DC44" i="83"/>
  <c r="DC46" i="83" s="1"/>
  <c r="DD44" i="83"/>
  <c r="DD46" i="83" s="1"/>
  <c r="CS44" i="83"/>
  <c r="CS46" i="83" s="1"/>
  <c r="BF44" i="83"/>
  <c r="CN44" i="83"/>
  <c r="CN46" i="83" s="1"/>
  <c r="AO44" i="83"/>
  <c r="BG44" i="83"/>
  <c r="AP44" i="83"/>
  <c r="AP45" i="83" s="1"/>
  <c r="BM44" i="83"/>
  <c r="BM45" i="83" s="1"/>
  <c r="B11" i="94"/>
  <c r="B37" i="43"/>
  <c r="B26" i="46"/>
  <c r="CD46" i="86"/>
  <c r="CG46" i="86"/>
  <c r="CF46" i="86"/>
  <c r="CO46" i="86"/>
  <c r="CK46" i="86"/>
  <c r="CK46" i="87"/>
  <c r="CR46" i="86"/>
  <c r="BF37" i="43"/>
  <c r="B26" i="95"/>
  <c r="CN46" i="86"/>
  <c r="CN46" i="87"/>
  <c r="CT46" i="87"/>
  <c r="A12" i="94"/>
  <c r="C20" i="82"/>
  <c r="B21" i="82" s="1"/>
  <c r="CL46" i="87"/>
  <c r="CI46" i="87"/>
  <c r="CS46" i="87"/>
  <c r="DA46" i="91"/>
  <c r="DB46" i="91"/>
  <c r="CU46" i="91"/>
  <c r="DC46" i="91"/>
  <c r="CV46" i="91"/>
  <c r="DD46" i="91"/>
  <c r="CW46" i="91"/>
  <c r="CX46" i="91"/>
  <c r="CY46" i="91"/>
  <c r="CZ46" i="91"/>
  <c r="CO46" i="87"/>
  <c r="CA46" i="87"/>
  <c r="CJ46" i="87"/>
  <c r="DB46" i="87"/>
  <c r="CU46" i="87"/>
  <c r="DC46" i="87"/>
  <c r="CV46" i="87"/>
  <c r="DD46" i="87"/>
  <c r="CW46" i="87"/>
  <c r="CX46" i="87"/>
  <c r="CY46" i="87"/>
  <c r="CZ46" i="87"/>
  <c r="DA46" i="87"/>
  <c r="CP46" i="87"/>
  <c r="Q33" i="25"/>
  <c r="CD46" i="87"/>
  <c r="CM46" i="87"/>
  <c r="CF46" i="87"/>
  <c r="CQ46" i="87"/>
  <c r="CA46" i="91"/>
  <c r="DC45" i="83"/>
  <c r="CV45" i="83"/>
  <c r="CW45" i="83"/>
  <c r="DB45" i="83"/>
  <c r="CX45" i="83"/>
  <c r="CZ45" i="83"/>
  <c r="DA46" i="86"/>
  <c r="CU46" i="86"/>
  <c r="DC46" i="86"/>
  <c r="CV46" i="86"/>
  <c r="CW46" i="86"/>
  <c r="CX46" i="86"/>
  <c r="CY46" i="86"/>
  <c r="CH46" i="86"/>
  <c r="CV45" i="85"/>
  <c r="DD45" i="85"/>
  <c r="CW45" i="85"/>
  <c r="CY45" i="85"/>
  <c r="CZ45" i="85"/>
  <c r="DA45" i="85"/>
  <c r="DB45" i="85"/>
  <c r="CU45" i="85"/>
  <c r="DC45" i="85"/>
  <c r="CS46" i="86"/>
  <c r="D45" i="86"/>
  <c r="CL46" i="86"/>
  <c r="P36" i="43"/>
  <c r="AR36" i="43"/>
  <c r="AD36" i="43"/>
  <c r="BC46" i="87"/>
  <c r="CG46" i="87"/>
  <c r="CR46" i="87"/>
  <c r="CS46" i="91"/>
  <c r="CL46" i="91"/>
  <c r="CP46" i="91"/>
  <c r="DE43" i="92"/>
  <c r="L43" i="92" s="1"/>
  <c r="AQ45" i="92"/>
  <c r="CM46" i="91"/>
  <c r="CT46" i="91"/>
  <c r="CO46" i="91"/>
  <c r="CJ46" i="91"/>
  <c r="AX46" i="91"/>
  <c r="DE43" i="89"/>
  <c r="L43" i="89" s="1"/>
  <c r="DE43" i="88"/>
  <c r="X32" i="23"/>
  <c r="AD32" i="24" s="1"/>
  <c r="X33" i="23"/>
  <c r="AD33" i="24" s="1"/>
  <c r="T33" i="23"/>
  <c r="Y33" i="24" s="1"/>
  <c r="P31" i="23"/>
  <c r="T31" i="24" s="1"/>
  <c r="BN43" i="83"/>
  <c r="CM46" i="86"/>
  <c r="AJ44" i="88"/>
  <c r="BN43" i="88"/>
  <c r="AJ45" i="90"/>
  <c r="BN43" i="85"/>
  <c r="K43" i="85" s="1"/>
  <c r="BM45" i="85"/>
  <c r="BE45" i="85"/>
  <c r="BL45" i="85"/>
  <c r="BD45" i="85"/>
  <c r="BK45" i="85"/>
  <c r="BJ45" i="85"/>
  <c r="BI45" i="85"/>
  <c r="BH45" i="85"/>
  <c r="BG45" i="85"/>
  <c r="BF45" i="85"/>
  <c r="BN44" i="91"/>
  <c r="K44" i="91" s="1"/>
  <c r="CN46" i="91"/>
  <c r="BM46" i="91"/>
  <c r="BE46" i="91"/>
  <c r="BL46" i="91"/>
  <c r="BD46" i="91"/>
  <c r="BH46" i="91"/>
  <c r="BK46" i="91"/>
  <c r="BJ46" i="91"/>
  <c r="BI46" i="91"/>
  <c r="BG46" i="91"/>
  <c r="BF46" i="91"/>
  <c r="BN43" i="89"/>
  <c r="K43" i="89" s="1"/>
  <c r="CK46" i="91"/>
  <c r="BM46" i="87"/>
  <c r="BE46" i="87"/>
  <c r="BL46" i="87"/>
  <c r="BD46" i="87"/>
  <c r="BK46" i="87"/>
  <c r="BJ46" i="87"/>
  <c r="BI46" i="87"/>
  <c r="BH46" i="87"/>
  <c r="BG46" i="87"/>
  <c r="BF46" i="87"/>
  <c r="AY46" i="91"/>
  <c r="CQ46" i="91"/>
  <c r="CD46" i="91"/>
  <c r="CH46" i="91"/>
  <c r="CR46" i="91"/>
  <c r="CF46" i="91"/>
  <c r="AL33" i="23"/>
  <c r="CI46" i="91"/>
  <c r="CG46" i="91"/>
  <c r="BM46" i="86"/>
  <c r="BE46" i="86"/>
  <c r="BD46" i="86"/>
  <c r="BK46" i="86"/>
  <c r="BI46" i="86"/>
  <c r="BG46" i="86"/>
  <c r="BD45" i="83"/>
  <c r="BL45" i="83"/>
  <c r="BJ45" i="83"/>
  <c r="BE45" i="83"/>
  <c r="BF45" i="83"/>
  <c r="BG45" i="83"/>
  <c r="BH45" i="83"/>
  <c r="BI45" i="83"/>
  <c r="BK45" i="83"/>
  <c r="AV31" i="23"/>
  <c r="AD31" i="25"/>
  <c r="B45" i="93"/>
  <c r="AS33" i="23"/>
  <c r="Z33" i="25"/>
  <c r="AA32" i="25"/>
  <c r="AT32" i="23"/>
  <c r="D44" i="93"/>
  <c r="B45" i="89"/>
  <c r="F33" i="25"/>
  <c r="AC33" i="23"/>
  <c r="CL45" i="85"/>
  <c r="BC45" i="85"/>
  <c r="AN45" i="85"/>
  <c r="D44" i="85"/>
  <c r="CN45" i="85"/>
  <c r="AQ45" i="85"/>
  <c r="CP45" i="85"/>
  <c r="CF45" i="85"/>
  <c r="AW45" i="85"/>
  <c r="CS45" i="85"/>
  <c r="BB45" i="85"/>
  <c r="AZ45" i="85"/>
  <c r="CK45" i="85"/>
  <c r="AL45" i="85"/>
  <c r="AR45" i="85"/>
  <c r="CO45" i="85"/>
  <c r="AY45" i="85"/>
  <c r="CG45" i="85"/>
  <c r="CM45" i="85"/>
  <c r="CR45" i="85"/>
  <c r="AU45" i="85"/>
  <c r="N32" i="23"/>
  <c r="BA45" i="85"/>
  <c r="CQ45" i="85"/>
  <c r="AT45" i="85"/>
  <c r="AS45" i="85"/>
  <c r="CT45" i="85"/>
  <c r="CA45" i="85"/>
  <c r="AX45" i="85"/>
  <c r="CI45" i="85"/>
  <c r="Q32" i="24"/>
  <c r="B45" i="84"/>
  <c r="I33" i="23"/>
  <c r="K33" i="24"/>
  <c r="L32" i="24"/>
  <c r="J32" i="23"/>
  <c r="CO45" i="83"/>
  <c r="CG45" i="83"/>
  <c r="BB45" i="83"/>
  <c r="AT45" i="83"/>
  <c r="AL45" i="83"/>
  <c r="CN45" i="83"/>
  <c r="CF45" i="83"/>
  <c r="CM45" i="83"/>
  <c r="CT45" i="83"/>
  <c r="CL45" i="83"/>
  <c r="CD45" i="83"/>
  <c r="AY45" i="83"/>
  <c r="CK45" i="83"/>
  <c r="AX45" i="83"/>
  <c r="BA45" i="83"/>
  <c r="AZ45" i="83"/>
  <c r="CA45" i="83"/>
  <c r="AW45" i="83"/>
  <c r="CR45" i="83"/>
  <c r="AV45" i="83"/>
  <c r="CQ45" i="83"/>
  <c r="AU45" i="83"/>
  <c r="CP45" i="83"/>
  <c r="CJ45" i="83"/>
  <c r="CI45" i="83"/>
  <c r="BC45" i="83"/>
  <c r="AO45" i="83"/>
  <c r="G32" i="24"/>
  <c r="F32" i="23"/>
  <c r="I61" i="41"/>
  <c r="AF31" i="23"/>
  <c r="J31" i="25"/>
  <c r="AD32" i="23"/>
  <c r="G32" i="25"/>
  <c r="T32" i="25"/>
  <c r="AN32" i="23"/>
  <c r="T33" i="25"/>
  <c r="AN33" i="23"/>
  <c r="AV46" i="87"/>
  <c r="BA46" i="86"/>
  <c r="BB46" i="87"/>
  <c r="AY46" i="86"/>
  <c r="AZ46" i="86"/>
  <c r="E31" i="25"/>
  <c r="AB31" i="23"/>
  <c r="AU46" i="86"/>
  <c r="AX46" i="87"/>
  <c r="AT46" i="91"/>
  <c r="AV46" i="86"/>
  <c r="AS46" i="86"/>
  <c r="AO46" i="87"/>
  <c r="AQ46" i="87"/>
  <c r="AR46" i="86"/>
  <c r="AP46" i="86"/>
  <c r="AS46" i="87"/>
  <c r="AR46" i="87"/>
  <c r="AJ46" i="91"/>
  <c r="AJ46" i="87"/>
  <c r="BO43" i="89"/>
  <c r="D44" i="89"/>
  <c r="D44" i="84"/>
  <c r="L32" i="23" s="1"/>
  <c r="O32" i="24" s="1"/>
  <c r="D45" i="84"/>
  <c r="L33" i="23" s="1"/>
  <c r="O33" i="24" s="1"/>
  <c r="D44" i="83"/>
  <c r="H32" i="23" s="1"/>
  <c r="J32" i="24" s="1"/>
  <c r="F58" i="50"/>
  <c r="H21" i="50"/>
  <c r="H58" i="50" s="1"/>
  <c r="CL47" i="86" l="1"/>
  <c r="CO47" i="86"/>
  <c r="CF47" i="87"/>
  <c r="CH47" i="87"/>
  <c r="CF46" i="83"/>
  <c r="CG47" i="91"/>
  <c r="CJ46" i="83"/>
  <c r="CI46" i="83"/>
  <c r="CI47" i="86"/>
  <c r="CJ45" i="85"/>
  <c r="CH46" i="87"/>
  <c r="CI47" i="87"/>
  <c r="CJ46" i="86"/>
  <c r="CG47" i="87"/>
  <c r="CI47" i="91"/>
  <c r="CD47" i="87"/>
  <c r="CU45" i="83"/>
  <c r="DA45" i="83"/>
  <c r="CD46" i="83"/>
  <c r="CA46" i="83"/>
  <c r="CB47" i="91"/>
  <c r="CA47" i="87"/>
  <c r="CE47" i="87"/>
  <c r="CP47" i="91"/>
  <c r="CD47" i="91"/>
  <c r="DA45" i="89"/>
  <c r="CS45" i="89"/>
  <c r="CK45" i="89"/>
  <c r="CC45" i="89"/>
  <c r="CZ45" i="89"/>
  <c r="CR45" i="89"/>
  <c r="CJ45" i="89"/>
  <c r="CA45" i="89"/>
  <c r="CX45" i="89"/>
  <c r="CP45" i="89"/>
  <c r="CH45" i="89"/>
  <c r="CW45" i="89"/>
  <c r="CW47" i="89" s="1"/>
  <c r="CO45" i="89"/>
  <c r="CG45" i="89"/>
  <c r="DD45" i="89"/>
  <c r="CV45" i="89"/>
  <c r="CN45" i="89"/>
  <c r="CF45" i="89"/>
  <c r="DC45" i="89"/>
  <c r="CU45" i="89"/>
  <c r="CU47" i="89" s="1"/>
  <c r="CM45" i="89"/>
  <c r="CE45" i="89"/>
  <c r="DB45" i="89"/>
  <c r="DB47" i="89" s="1"/>
  <c r="CY45" i="89"/>
  <c r="CT45" i="89"/>
  <c r="CT47" i="89" s="1"/>
  <c r="CQ45" i="89"/>
  <c r="CQ47" i="89" s="1"/>
  <c r="CL45" i="89"/>
  <c r="CI45" i="89"/>
  <c r="CI47" i="89" s="1"/>
  <c r="CD45" i="89"/>
  <c r="BH45" i="89"/>
  <c r="AZ45" i="89"/>
  <c r="AR45" i="89"/>
  <c r="BG45" i="89"/>
  <c r="AY45" i="89"/>
  <c r="AQ45" i="89"/>
  <c r="BF45" i="89"/>
  <c r="BF46" i="89" s="1"/>
  <c r="AX45" i="89"/>
  <c r="AP45" i="89"/>
  <c r="BL45" i="89"/>
  <c r="BD45" i="89"/>
  <c r="AV45" i="89"/>
  <c r="AN45" i="89"/>
  <c r="BJ45" i="89"/>
  <c r="BB45" i="89"/>
  <c r="AT45" i="89"/>
  <c r="AL45" i="89"/>
  <c r="BI45" i="89"/>
  <c r="BA45" i="89"/>
  <c r="AS45" i="89"/>
  <c r="AJ45" i="89"/>
  <c r="AO45" i="89"/>
  <c r="AM45" i="89"/>
  <c r="BM45" i="89"/>
  <c r="BK45" i="89"/>
  <c r="BE45" i="89"/>
  <c r="BC45" i="89"/>
  <c r="AW45" i="89"/>
  <c r="AU45" i="89"/>
  <c r="CA47" i="89"/>
  <c r="CW45" i="93"/>
  <c r="CO45" i="93"/>
  <c r="CG45" i="93"/>
  <c r="DD45" i="93"/>
  <c r="CV45" i="93"/>
  <c r="CN45" i="93"/>
  <c r="CF45" i="93"/>
  <c r="DC45" i="93"/>
  <c r="CU45" i="93"/>
  <c r="CU46" i="93" s="1"/>
  <c r="CM45" i="93"/>
  <c r="CE45" i="93"/>
  <c r="DB45" i="93"/>
  <c r="CT45" i="93"/>
  <c r="CL45" i="93"/>
  <c r="CD45" i="93"/>
  <c r="DA45" i="93"/>
  <c r="CS45" i="93"/>
  <c r="CK45" i="93"/>
  <c r="CC45" i="93"/>
  <c r="CZ45" i="93"/>
  <c r="CR45" i="93"/>
  <c r="CJ45" i="93"/>
  <c r="CB45" i="93"/>
  <c r="CY45" i="93"/>
  <c r="CQ45" i="93"/>
  <c r="CI45" i="93"/>
  <c r="CA45" i="93"/>
  <c r="CX45" i="93"/>
  <c r="CP45" i="93"/>
  <c r="CP47" i="93" s="1"/>
  <c r="CH45" i="93"/>
  <c r="CH47" i="93" s="1"/>
  <c r="BM45" i="93"/>
  <c r="BE45" i="93"/>
  <c r="AW45" i="93"/>
  <c r="AO45" i="93"/>
  <c r="BL45" i="93"/>
  <c r="BC45" i="93"/>
  <c r="AT45" i="93"/>
  <c r="AK45" i="93"/>
  <c r="BK45" i="93"/>
  <c r="BB45" i="93"/>
  <c r="AS45" i="93"/>
  <c r="AJ45" i="93"/>
  <c r="BJ45" i="93"/>
  <c r="BA45" i="93"/>
  <c r="AR45" i="93"/>
  <c r="BH45" i="93"/>
  <c r="AY45" i="93"/>
  <c r="AP45" i="93"/>
  <c r="BF45" i="93"/>
  <c r="AV45" i="93"/>
  <c r="AM45" i="93"/>
  <c r="BD45" i="93"/>
  <c r="BD46" i="93" s="1"/>
  <c r="AU45" i="93"/>
  <c r="AL45" i="93"/>
  <c r="AQ45" i="93"/>
  <c r="AN45" i="93"/>
  <c r="BI45" i="93"/>
  <c r="BG45" i="93"/>
  <c r="BG46" i="93" s="1"/>
  <c r="AZ45" i="93"/>
  <c r="AX45" i="93"/>
  <c r="CH47" i="89"/>
  <c r="CZ47" i="86"/>
  <c r="DA47" i="86"/>
  <c r="DC47" i="86"/>
  <c r="CH47" i="86"/>
  <c r="CI46" i="86"/>
  <c r="CD47" i="86"/>
  <c r="CF47" i="86"/>
  <c r="DB46" i="86"/>
  <c r="CN47" i="86"/>
  <c r="CX47" i="86"/>
  <c r="CR47" i="86"/>
  <c r="CV47" i="86"/>
  <c r="CE47" i="86"/>
  <c r="CG47" i="86"/>
  <c r="DD46" i="86"/>
  <c r="CK47" i="86"/>
  <c r="CM47" i="86"/>
  <c r="CY47" i="86"/>
  <c r="CU47" i="86"/>
  <c r="CW47" i="86"/>
  <c r="DC46" i="85"/>
  <c r="CH46" i="85"/>
  <c r="CK46" i="85"/>
  <c r="CD46" i="85"/>
  <c r="CF46" i="85"/>
  <c r="CL46" i="85"/>
  <c r="CN46" i="85"/>
  <c r="CS46" i="85"/>
  <c r="CV46" i="85"/>
  <c r="CA46" i="85"/>
  <c r="DD46" i="85"/>
  <c r="CI46" i="85"/>
  <c r="DA46" i="85"/>
  <c r="CE46" i="85"/>
  <c r="CG46" i="85"/>
  <c r="CQ46" i="85"/>
  <c r="CM46" i="85"/>
  <c r="CO46" i="85"/>
  <c r="CY46" i="85"/>
  <c r="CU46" i="85"/>
  <c r="CW46" i="85"/>
  <c r="CV46" i="83"/>
  <c r="CX46" i="83"/>
  <c r="CH46" i="83"/>
  <c r="CP46" i="83"/>
  <c r="CW46" i="83"/>
  <c r="CS45" i="83"/>
  <c r="CO46" i="83"/>
  <c r="CG46" i="83"/>
  <c r="CX46" i="85"/>
  <c r="CY46" i="83"/>
  <c r="DD45" i="83"/>
  <c r="CT47" i="86"/>
  <c r="CX45" i="84"/>
  <c r="CP45" i="84"/>
  <c r="CH45" i="84"/>
  <c r="CH46" i="84" s="1"/>
  <c r="CW45" i="84"/>
  <c r="CW46" i="84" s="1"/>
  <c r="CO45" i="84"/>
  <c r="CG45" i="84"/>
  <c r="DD45" i="84"/>
  <c r="CV45" i="84"/>
  <c r="DC45" i="84"/>
  <c r="DC46" i="84" s="1"/>
  <c r="CU45" i="84"/>
  <c r="CU47" i="84" s="1"/>
  <c r="CS45" i="84"/>
  <c r="CI45" i="84"/>
  <c r="CI46" i="84" s="1"/>
  <c r="CQ45" i="84"/>
  <c r="CE45" i="84"/>
  <c r="DB45" i="84"/>
  <c r="DB46" i="84" s="1"/>
  <c r="CN45" i="84"/>
  <c r="CD45" i="84"/>
  <c r="CD46" i="84" s="1"/>
  <c r="DA45" i="84"/>
  <c r="DA47" i="84" s="1"/>
  <c r="CM45" i="84"/>
  <c r="CM47" i="84" s="1"/>
  <c r="CC45" i="84"/>
  <c r="CZ45" i="84"/>
  <c r="CL45" i="84"/>
  <c r="CB45" i="84"/>
  <c r="CA45" i="84"/>
  <c r="CY45" i="84"/>
  <c r="CY46" i="84" s="1"/>
  <c r="CT45" i="84"/>
  <c r="CT46" i="84" s="1"/>
  <c r="CR45" i="84"/>
  <c r="CJ45" i="84"/>
  <c r="CJ46" i="84" s="1"/>
  <c r="CF45" i="84"/>
  <c r="CF46" i="84" s="1"/>
  <c r="CK45" i="84"/>
  <c r="BK45" i="84"/>
  <c r="BC45" i="84"/>
  <c r="AU45" i="84"/>
  <c r="AM45" i="84"/>
  <c r="BF45" i="84"/>
  <c r="AW45" i="84"/>
  <c r="AW46" i="84" s="1"/>
  <c r="AN45" i="84"/>
  <c r="BE45" i="84"/>
  <c r="AV45" i="84"/>
  <c r="AL45" i="84"/>
  <c r="BH45" i="84"/>
  <c r="BH46" i="84" s="1"/>
  <c r="AT45" i="84"/>
  <c r="BG45" i="84"/>
  <c r="BG46" i="84" s="1"/>
  <c r="AS45" i="84"/>
  <c r="AS46" i="84" s="1"/>
  <c r="BD45" i="84"/>
  <c r="AR45" i="84"/>
  <c r="AR46" i="84" s="1"/>
  <c r="BB45" i="84"/>
  <c r="AQ45" i="84"/>
  <c r="AQ46" i="84" s="1"/>
  <c r="BM45" i="84"/>
  <c r="BM46" i="84" s="1"/>
  <c r="BA45" i="84"/>
  <c r="AP45" i="84"/>
  <c r="AP46" i="84" s="1"/>
  <c r="BL45" i="84"/>
  <c r="AZ45" i="84"/>
  <c r="AO45" i="84"/>
  <c r="BJ45" i="84"/>
  <c r="AY45" i="84"/>
  <c r="AK45" i="84"/>
  <c r="BI45" i="84"/>
  <c r="BI46" i="84" s="1"/>
  <c r="AX45" i="84"/>
  <c r="AJ45" i="84"/>
  <c r="AJ46" i="84" s="1"/>
  <c r="CA47" i="86"/>
  <c r="CP47" i="86"/>
  <c r="CQ47" i="86"/>
  <c r="CA46" i="84"/>
  <c r="B12" i="94"/>
  <c r="C37" i="43"/>
  <c r="A27" i="46"/>
  <c r="Q36" i="43"/>
  <c r="A26" i="47"/>
  <c r="CL46" i="84"/>
  <c r="CK46" i="84"/>
  <c r="AE36" i="43"/>
  <c r="A26" i="49"/>
  <c r="AS36" i="43"/>
  <c r="A26" i="48"/>
  <c r="BG37" i="43"/>
  <c r="A27" i="95"/>
  <c r="A13" i="94"/>
  <c r="C21" i="82"/>
  <c r="B22" i="82" s="1"/>
  <c r="DA46" i="89"/>
  <c r="DB46" i="89"/>
  <c r="DC46" i="89"/>
  <c r="CV46" i="89"/>
  <c r="DD46" i="89"/>
  <c r="CX46" i="89"/>
  <c r="CY46" i="89"/>
  <c r="CZ46" i="89"/>
  <c r="CN46" i="84"/>
  <c r="CS46" i="84"/>
  <c r="AX46" i="84"/>
  <c r="CR46" i="84"/>
  <c r="AU46" i="84"/>
  <c r="CM46" i="84"/>
  <c r="J33" i="23"/>
  <c r="CG46" i="84"/>
  <c r="BC46" i="84"/>
  <c r="L33" i="24"/>
  <c r="CO46" i="84"/>
  <c r="CQ46" i="84"/>
  <c r="BN45" i="87"/>
  <c r="K45" i="87" s="1"/>
  <c r="CR46" i="89"/>
  <c r="BF46" i="93"/>
  <c r="BH46" i="93"/>
  <c r="BI46" i="93"/>
  <c r="BJ46" i="93"/>
  <c r="BK46" i="93"/>
  <c r="BL46" i="93"/>
  <c r="BM46" i="93"/>
  <c r="CY46" i="93"/>
  <c r="CZ46" i="93"/>
  <c r="DA46" i="93"/>
  <c r="DB46" i="93"/>
  <c r="DC46" i="93"/>
  <c r="CV46" i="93"/>
  <c r="DD46" i="93"/>
  <c r="CW46" i="93"/>
  <c r="CX46" i="93"/>
  <c r="DE44" i="89"/>
  <c r="L44" i="89" s="1"/>
  <c r="G33" i="25"/>
  <c r="AU46" i="89"/>
  <c r="CN46" i="89"/>
  <c r="P32" i="23"/>
  <c r="T32" i="24" s="1"/>
  <c r="DE44" i="85"/>
  <c r="L44" i="85" s="1"/>
  <c r="DA46" i="84"/>
  <c r="CZ46" i="84"/>
  <c r="CX46" i="84"/>
  <c r="CV46" i="84"/>
  <c r="DD46" i="84"/>
  <c r="BN44" i="84"/>
  <c r="AJ45" i="83"/>
  <c r="BJ46" i="84"/>
  <c r="BK46" i="84"/>
  <c r="BD46" i="84"/>
  <c r="BL46" i="84"/>
  <c r="BE46" i="84"/>
  <c r="BF46" i="84"/>
  <c r="AJ45" i="85"/>
  <c r="BN44" i="85"/>
  <c r="K44" i="85" s="1"/>
  <c r="BN45" i="91"/>
  <c r="K45" i="91" s="1"/>
  <c r="CP46" i="89"/>
  <c r="CG46" i="89"/>
  <c r="AO46" i="89"/>
  <c r="CD46" i="89"/>
  <c r="CH46" i="89"/>
  <c r="BN44" i="89"/>
  <c r="K44" i="89" s="1"/>
  <c r="AS46" i="89"/>
  <c r="CK46" i="89"/>
  <c r="BM46" i="89"/>
  <c r="BE46" i="89"/>
  <c r="BL46" i="89"/>
  <c r="BD46" i="89"/>
  <c r="BK46" i="89"/>
  <c r="BJ46" i="89"/>
  <c r="BI46" i="89"/>
  <c r="BH46" i="89"/>
  <c r="BG46" i="89"/>
  <c r="AD33" i="23"/>
  <c r="CS46" i="89"/>
  <c r="CL46" i="89"/>
  <c r="AP46" i="89"/>
  <c r="CJ46" i="89"/>
  <c r="BA46" i="89"/>
  <c r="AJ46" i="89"/>
  <c r="CM46" i="89"/>
  <c r="CT46" i="89"/>
  <c r="AY46" i="89"/>
  <c r="AV46" i="89"/>
  <c r="D45" i="89"/>
  <c r="AF33" i="23" s="1"/>
  <c r="CF46" i="89"/>
  <c r="CO46" i="89"/>
  <c r="AR46" i="89"/>
  <c r="CA46" i="89"/>
  <c r="AZ46" i="89"/>
  <c r="CQ46" i="89"/>
  <c r="AD32" i="25"/>
  <c r="AV32" i="23"/>
  <c r="CS46" i="93"/>
  <c r="CO46" i="93"/>
  <c r="AT33" i="23"/>
  <c r="CN46" i="93"/>
  <c r="CR46" i="93"/>
  <c r="CK46" i="93"/>
  <c r="AJ46" i="93"/>
  <c r="AA33" i="25"/>
  <c r="CF46" i="93"/>
  <c r="CH46" i="93"/>
  <c r="CJ46" i="93"/>
  <c r="BC46" i="93"/>
  <c r="CG46" i="93"/>
  <c r="CM46" i="93"/>
  <c r="AX46" i="93"/>
  <c r="CQ46" i="93"/>
  <c r="BB46" i="93"/>
  <c r="CT46" i="93"/>
  <c r="CL46" i="93"/>
  <c r="CP46" i="93"/>
  <c r="AV46" i="93"/>
  <c r="D45" i="93"/>
  <c r="CD46" i="93"/>
  <c r="CA46" i="93"/>
  <c r="CI46" i="93"/>
  <c r="J32" i="25"/>
  <c r="AF32" i="23"/>
  <c r="BA46" i="84"/>
  <c r="BB46" i="84"/>
  <c r="AO46" i="84"/>
  <c r="BO44" i="89"/>
  <c r="BO44" i="84"/>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CI47" i="93" l="1"/>
  <c r="CP47" i="84"/>
  <c r="CG47" i="89"/>
  <c r="CA47" i="93"/>
  <c r="CC47" i="93"/>
  <c r="CE47" i="93"/>
  <c r="CG47" i="93"/>
  <c r="CK47" i="93"/>
  <c r="CM47" i="93"/>
  <c r="CO47" i="93"/>
  <c r="CQ47" i="93"/>
  <c r="CS47" i="93"/>
  <c r="CW47" i="93"/>
  <c r="CY47" i="93"/>
  <c r="DA47" i="93"/>
  <c r="DC47" i="93"/>
  <c r="CB47" i="93"/>
  <c r="CD47" i="93"/>
  <c r="CF47" i="93"/>
  <c r="CJ47" i="93"/>
  <c r="CL47" i="93"/>
  <c r="CN47" i="93"/>
  <c r="CR47" i="93"/>
  <c r="CT47" i="93"/>
  <c r="CV47" i="93"/>
  <c r="CX47" i="93"/>
  <c r="CZ47" i="93"/>
  <c r="DB47" i="93"/>
  <c r="DD47" i="93"/>
  <c r="DD47" i="89"/>
  <c r="CJ47" i="89"/>
  <c r="CE47" i="89"/>
  <c r="CR47" i="89"/>
  <c r="CW46" i="89"/>
  <c r="CD47" i="89"/>
  <c r="CM47" i="89"/>
  <c r="CO47" i="89"/>
  <c r="CZ47" i="89"/>
  <c r="CL47" i="89"/>
  <c r="DC47" i="89"/>
  <c r="CK47" i="89"/>
  <c r="CI46" i="89"/>
  <c r="CF47" i="89"/>
  <c r="CP47" i="89"/>
  <c r="CS47" i="89"/>
  <c r="CU46" i="89"/>
  <c r="CN47" i="89"/>
  <c r="CX47" i="89"/>
  <c r="DA47" i="89"/>
  <c r="CY47" i="89"/>
  <c r="CV47" i="89"/>
  <c r="CU47" i="93"/>
  <c r="CP46" i="84"/>
  <c r="CJ47" i="84"/>
  <c r="CI47" i="84"/>
  <c r="CW47" i="84"/>
  <c r="CR47" i="84"/>
  <c r="CS47" i="84"/>
  <c r="CH47" i="84"/>
  <c r="CY47" i="84"/>
  <c r="CD47" i="84"/>
  <c r="DC47" i="84"/>
  <c r="CX47" i="84"/>
  <c r="CU46" i="84"/>
  <c r="CA47" i="84"/>
  <c r="CN47" i="84"/>
  <c r="CV47" i="84"/>
  <c r="DB47" i="84"/>
  <c r="DD47" i="84"/>
  <c r="CK47" i="84"/>
  <c r="CL47" i="84"/>
  <c r="CE47" i="84"/>
  <c r="CG47" i="84"/>
  <c r="CZ47" i="84"/>
  <c r="CQ47" i="84"/>
  <c r="CO47" i="84"/>
  <c r="CF47" i="84"/>
  <c r="CT47" i="84"/>
  <c r="B13" i="94"/>
  <c r="B38" i="43"/>
  <c r="B27" i="46"/>
  <c r="P37" i="43"/>
  <c r="B26" i="47"/>
  <c r="AD37" i="43"/>
  <c r="B26" i="49"/>
  <c r="AR37" i="43"/>
  <c r="B26" i="48"/>
  <c r="BF38" i="43"/>
  <c r="B27" i="95"/>
  <c r="A14" i="94"/>
  <c r="C22" i="82"/>
  <c r="B23" i="82" s="1"/>
  <c r="BN45" i="93"/>
  <c r="BE46" i="93"/>
  <c r="J33" i="25"/>
  <c r="AQ46" i="89"/>
  <c r="AD33" i="25"/>
  <c r="AV33" i="23"/>
  <c r="B14" i="94" l="1"/>
  <c r="C38" i="43"/>
  <c r="A28" i="46"/>
  <c r="Q37" i="43"/>
  <c r="A27" i="47"/>
  <c r="AE37" i="43"/>
  <c r="A27" i="49"/>
  <c r="AS37" i="43"/>
  <c r="A27" i="48"/>
  <c r="BG38" i="43"/>
  <c r="A28" i="95"/>
  <c r="A15" i="94"/>
  <c r="C23" i="82"/>
  <c r="B15" i="94" s="1"/>
  <c r="D28" i="50"/>
  <c r="D37" i="50" s="1"/>
  <c r="D46" i="50" s="1"/>
  <c r="D55" i="50" s="1"/>
  <c r="E28" i="50"/>
  <c r="E37" i="50" s="1"/>
  <c r="E46" i="50" s="1"/>
  <c r="E55" i="50" s="1"/>
  <c r="C28" i="50"/>
  <c r="C37" i="50" s="1"/>
  <c r="C46" i="50" s="1"/>
  <c r="C55" i="50" s="1"/>
  <c r="B39" i="43" l="1"/>
  <c r="B28" i="46"/>
  <c r="P38" i="43"/>
  <c r="B27" i="47"/>
  <c r="AD38" i="43"/>
  <c r="B27" i="49"/>
  <c r="AR38" i="43"/>
  <c r="B27" i="48"/>
  <c r="BF39" i="43"/>
  <c r="B28" i="95"/>
  <c r="B24" i="82"/>
  <c r="D2" i="46"/>
  <c r="J98" i="43"/>
  <c r="C39" i="43" l="1"/>
  <c r="A29" i="46"/>
  <c r="Q38" i="43"/>
  <c r="A28" i="47"/>
  <c r="AE38" i="43"/>
  <c r="A28" i="49"/>
  <c r="AS38" i="43"/>
  <c r="A28" i="48"/>
  <c r="BG39" i="43"/>
  <c r="A29" i="95"/>
  <c r="A16" i="94"/>
  <c r="C24" i="82"/>
  <c r="B25" i="82" s="1"/>
  <c r="B7" i="50"/>
  <c r="B16" i="94" l="1"/>
  <c r="A17" i="94"/>
  <c r="B40" i="43"/>
  <c r="B29" i="46"/>
  <c r="P39" i="43"/>
  <c r="B28" i="47"/>
  <c r="AD39" i="43"/>
  <c r="B28" i="49"/>
  <c r="AR39" i="43"/>
  <c r="B28" i="48"/>
  <c r="BF40" i="43"/>
  <c r="B29" i="95"/>
  <c r="C25" i="82"/>
  <c r="B26" i="82" s="1"/>
  <c r="L58" i="43"/>
  <c r="J29" i="1"/>
  <c r="W58" i="43"/>
  <c r="V58" i="43"/>
  <c r="U58" i="43"/>
  <c r="T58" i="43"/>
  <c r="S58" i="43"/>
  <c r="R58" i="43"/>
  <c r="Q58" i="43"/>
  <c r="P58" i="43"/>
  <c r="O58" i="43"/>
  <c r="N58" i="43"/>
  <c r="M58" i="43"/>
  <c r="B13" i="1"/>
  <c r="G16" i="62"/>
  <c r="B17" i="94" l="1"/>
  <c r="A18" i="94"/>
  <c r="C40" i="43"/>
  <c r="A30" i="46"/>
  <c r="Q39" i="43"/>
  <c r="A29" i="47"/>
  <c r="AE39" i="43"/>
  <c r="A29" i="49"/>
  <c r="AS39" i="43"/>
  <c r="A29" i="48"/>
  <c r="BG40" i="43"/>
  <c r="A30" i="95"/>
  <c r="C26" i="82"/>
  <c r="B27" i="82" s="1"/>
  <c r="W98" i="43"/>
  <c r="O98" i="43"/>
  <c r="P98" i="43"/>
  <c r="Q98" i="43"/>
  <c r="R98" i="43"/>
  <c r="S98" i="43"/>
  <c r="L98" i="43"/>
  <c r="T98" i="43"/>
  <c r="U98" i="43"/>
  <c r="M98" i="43"/>
  <c r="N98" i="43"/>
  <c r="V98" i="43"/>
  <c r="B18" i="94" l="1"/>
  <c r="A19" i="94"/>
  <c r="B41" i="43"/>
  <c r="B30" i="46"/>
  <c r="P40" i="43"/>
  <c r="B29" i="47"/>
  <c r="AD40" i="43"/>
  <c r="B29" i="49"/>
  <c r="AR40" i="43"/>
  <c r="B29" i="48"/>
  <c r="BF41" i="43"/>
  <c r="B30" i="95"/>
  <c r="C27" i="82"/>
  <c r="B28" i="82" s="1"/>
  <c r="A20" i="94" l="1"/>
  <c r="B19" i="94"/>
  <c r="C41" i="43"/>
  <c r="B31" i="46" s="1"/>
  <c r="A31" i="46"/>
  <c r="Q40" i="43"/>
  <c r="A30" i="47"/>
  <c r="AE40" i="43"/>
  <c r="A30" i="49"/>
  <c r="AS40" i="43"/>
  <c r="A30" i="48"/>
  <c r="A31" i="95"/>
  <c r="BG41" i="43"/>
  <c r="B31" i="95" s="1"/>
  <c r="C28" i="82"/>
  <c r="B29" i="82" s="1"/>
  <c r="AD3" i="24"/>
  <c r="A58" i="41"/>
  <c r="C29" i="82" l="1"/>
  <c r="B30" i="82" s="1"/>
  <c r="A21" i="94"/>
  <c r="B20" i="94"/>
  <c r="P41" i="43"/>
  <c r="B30" i="47"/>
  <c r="AD41" i="43"/>
  <c r="B30" i="49"/>
  <c r="AR41" i="43"/>
  <c r="B30" i="48"/>
  <c r="T3" i="24"/>
  <c r="Y3" i="24"/>
  <c r="O3" i="24"/>
  <c r="J3" i="24"/>
  <c r="F12" i="62"/>
  <c r="A1" i="23" s="1"/>
  <c r="B21" i="94" l="1"/>
  <c r="C30" i="82"/>
  <c r="B31" i="82" s="1"/>
  <c r="A22" i="94"/>
  <c r="A31" i="47"/>
  <c r="Q41" i="43"/>
  <c r="B31" i="47" s="1"/>
  <c r="A31" i="49"/>
  <c r="AE41" i="43"/>
  <c r="B31" i="49" s="1"/>
  <c r="A31" i="48"/>
  <c r="AS41" i="43"/>
  <c r="B31" i="48" s="1"/>
  <c r="W21" i="41"/>
  <c r="W22" i="41"/>
  <c r="W23" i="41"/>
  <c r="W24" i="41"/>
  <c r="W28" i="41"/>
  <c r="W29" i="41"/>
  <c r="W30" i="41"/>
  <c r="W31" i="41"/>
  <c r="W32" i="41"/>
  <c r="W34" i="41"/>
  <c r="W36" i="41"/>
  <c r="W37" i="41"/>
  <c r="W38" i="41"/>
  <c r="W39" i="41"/>
  <c r="W40" i="41"/>
  <c r="W41" i="41"/>
  <c r="W42" i="41"/>
  <c r="W43" i="41"/>
  <c r="W44" i="41"/>
  <c r="W45" i="41"/>
  <c r="W46" i="41"/>
  <c r="W47" i="41"/>
  <c r="W48" i="41"/>
  <c r="W49" i="41"/>
  <c r="W50" i="41"/>
  <c r="A62" i="41"/>
  <c r="A57" i="41"/>
  <c r="A56" i="41"/>
  <c r="A55" i="41"/>
  <c r="A53" i="41"/>
  <c r="B17" i="46"/>
  <c r="B18" i="46"/>
  <c r="B19" i="46"/>
  <c r="B20" i="46"/>
  <c r="A17" i="46"/>
  <c r="A18" i="46"/>
  <c r="A19" i="46"/>
  <c r="A20"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D4" i="46"/>
  <c r="E4" i="46"/>
  <c r="F4" i="46"/>
  <c r="G4" i="46"/>
  <c r="C4" i="46"/>
  <c r="B22" i="94" l="1"/>
  <c r="C31" i="82"/>
  <c r="B32" i="82" s="1"/>
  <c r="A23" i="94"/>
  <c r="C30" i="50"/>
  <c r="C56" i="50"/>
  <c r="C58" i="50"/>
  <c r="C39" i="50"/>
  <c r="C49" i="50"/>
  <c r="C48" i="50"/>
  <c r="C47" i="50"/>
  <c r="C31" i="50"/>
  <c r="C40" i="50"/>
  <c r="C38" i="50"/>
  <c r="C57" i="50"/>
  <c r="B23" i="94" l="1"/>
  <c r="C32" i="82"/>
  <c r="B33" i="82" s="1"/>
  <c r="A24" i="94"/>
  <c r="B24" i="94"/>
  <c r="C59" i="50"/>
  <c r="C41" i="50"/>
  <c r="C50" i="50"/>
  <c r="C33" i="82" l="1"/>
  <c r="B34" i="82" s="1"/>
  <c r="A25" i="94"/>
  <c r="D79" i="41"/>
  <c r="V50" i="41"/>
  <c r="V21" i="41"/>
  <c r="V23" i="41"/>
  <c r="V24" i="41"/>
  <c r="V25" i="41"/>
  <c r="V29" i="41"/>
  <c r="V30" i="41"/>
  <c r="V31" i="41"/>
  <c r="V34" i="41"/>
  <c r="V36" i="41"/>
  <c r="V38" i="41"/>
  <c r="V39" i="41"/>
  <c r="V40" i="41"/>
  <c r="V41" i="41"/>
  <c r="V42" i="41"/>
  <c r="V44" i="41"/>
  <c r="V45" i="41"/>
  <c r="V46" i="41"/>
  <c r="V47" i="41"/>
  <c r="V48" i="41"/>
  <c r="V49" i="41"/>
  <c r="B25" i="94" l="1"/>
  <c r="C34" i="82"/>
  <c r="B35" i="82" s="1"/>
  <c r="A26" i="94"/>
  <c r="AE39" i="23"/>
  <c r="H58" i="41"/>
  <c r="D88" i="41"/>
  <c r="H54" i="41" s="1"/>
  <c r="I17" i="1"/>
  <c r="I18" i="1"/>
  <c r="I56" i="41"/>
  <c r="O35" i="23"/>
  <c r="H66" i="41" l="1"/>
  <c r="J66" i="41" s="1"/>
  <c r="H65" i="41"/>
  <c r="J65" i="41" s="1"/>
  <c r="H57" i="41"/>
  <c r="B26" i="94"/>
  <c r="C35" i="82"/>
  <c r="B36" i="82" s="1"/>
  <c r="A27" i="94"/>
  <c r="G35" i="23"/>
  <c r="D89" i="41"/>
  <c r="J69" i="41" l="1"/>
  <c r="I54" i="41" s="1"/>
  <c r="I57" i="41" s="1"/>
  <c r="B27" i="94"/>
  <c r="C36" i="82"/>
  <c r="B37" i="82" s="1"/>
  <c r="A28" i="94"/>
  <c r="B28" i="94"/>
  <c r="G16" i="1"/>
  <c r="B34" i="23"/>
  <c r="X51" i="41"/>
  <c r="Z51" i="41"/>
  <c r="AA51" i="41"/>
  <c r="L14" i="1" l="1"/>
  <c r="N14" i="1" s="1"/>
  <c r="C37" i="82"/>
  <c r="B38" i="82" s="1"/>
  <c r="A29" i="94"/>
  <c r="B29" i="94"/>
  <c r="L16" i="1"/>
  <c r="N16" i="1" s="1"/>
  <c r="L15" i="1"/>
  <c r="N15" i="1" s="1"/>
  <c r="C34" i="24"/>
  <c r="J48" i="43"/>
  <c r="J49" i="43" s="1"/>
  <c r="AB51" i="41"/>
  <c r="J51" i="43"/>
  <c r="J52" i="43" s="1"/>
  <c r="L51" i="43"/>
  <c r="L52" i="43" s="1"/>
  <c r="M51" i="43"/>
  <c r="N51" i="43"/>
  <c r="N52" i="43" s="1"/>
  <c r="L48" i="43"/>
  <c r="L49" i="43" s="1"/>
  <c r="M49" i="43"/>
  <c r="N48" i="43"/>
  <c r="N49" i="43" s="1"/>
  <c r="AQ46" i="86"/>
  <c r="F51" i="43"/>
  <c r="G51" i="43"/>
  <c r="H51" i="43"/>
  <c r="I51" i="43"/>
  <c r="H48" i="43"/>
  <c r="CC21" i="87" l="1"/>
  <c r="CC28" i="87"/>
  <c r="CC35" i="87"/>
  <c r="CC42" i="87"/>
  <c r="CB20" i="87"/>
  <c r="CB27" i="87"/>
  <c r="CB34" i="87"/>
  <c r="CB41" i="87"/>
  <c r="CC32" i="89"/>
  <c r="CC26" i="85"/>
  <c r="CC38" i="83"/>
  <c r="CC25" i="89"/>
  <c r="DE25" i="89" s="1"/>
  <c r="L25" i="89" s="1"/>
  <c r="CC31" i="86"/>
  <c r="CC22" i="84"/>
  <c r="CC19" i="85"/>
  <c r="CC17" i="83"/>
  <c r="CC32" i="88"/>
  <c r="CC18" i="89"/>
  <c r="CC24" i="86"/>
  <c r="CC43" i="84"/>
  <c r="CC15" i="84"/>
  <c r="CC40" i="85"/>
  <c r="CC24" i="83"/>
  <c r="CC39" i="88"/>
  <c r="CC39" i="89"/>
  <c r="CC17" i="86"/>
  <c r="CC36" i="84"/>
  <c r="CC33" i="85"/>
  <c r="CC31" i="83"/>
  <c r="CC18" i="88"/>
  <c r="CB17" i="88"/>
  <c r="DE17" i="88" s="1"/>
  <c r="L17" i="88" s="1"/>
  <c r="CB24" i="89"/>
  <c r="DE24" i="89" s="1"/>
  <c r="L24" i="89" s="1"/>
  <c r="CB30" i="86"/>
  <c r="DE30" i="86" s="1"/>
  <c r="L30" i="86" s="1"/>
  <c r="CB21" i="84"/>
  <c r="CB18" i="85"/>
  <c r="DE18" i="85" s="1"/>
  <c r="L18" i="85" s="1"/>
  <c r="CB37" i="83"/>
  <c r="DE37" i="83" s="1"/>
  <c r="L37" i="83" s="1"/>
  <c r="CB45" i="89"/>
  <c r="CB17" i="89"/>
  <c r="DE17" i="89" s="1"/>
  <c r="L17" i="89" s="1"/>
  <c r="CB23" i="86"/>
  <c r="DE23" i="86" s="1"/>
  <c r="L23" i="86" s="1"/>
  <c r="CB42" i="84"/>
  <c r="DE42" i="84" s="1"/>
  <c r="L42" i="84" s="1"/>
  <c r="CB39" i="85"/>
  <c r="DE39" i="85" s="1"/>
  <c r="L39" i="85" s="1"/>
  <c r="CB16" i="83"/>
  <c r="DE16" i="83" s="1"/>
  <c r="L16" i="83" s="1"/>
  <c r="CB44" i="83"/>
  <c r="DE44" i="83" s="1"/>
  <c r="L44" i="83" s="1"/>
  <c r="CB31" i="88"/>
  <c r="DE31" i="88" s="1"/>
  <c r="L31" i="88" s="1"/>
  <c r="CB38" i="89"/>
  <c r="DE38" i="89" s="1"/>
  <c r="L38" i="89" s="1"/>
  <c r="CB16" i="86"/>
  <c r="DE16" i="86" s="1"/>
  <c r="L16" i="86" s="1"/>
  <c r="CB35" i="84"/>
  <c r="DE35" i="84" s="1"/>
  <c r="L35" i="84" s="1"/>
  <c r="CB32" i="85"/>
  <c r="DE32" i="85" s="1"/>
  <c r="L32" i="85" s="1"/>
  <c r="CB23" i="83"/>
  <c r="DE23" i="83" s="1"/>
  <c r="L23" i="83" s="1"/>
  <c r="CB38" i="88"/>
  <c r="DE38" i="88" s="1"/>
  <c r="L38" i="88" s="1"/>
  <c r="CB31" i="89"/>
  <c r="DE31" i="89" s="1"/>
  <c r="L31" i="89" s="1"/>
  <c r="CB25" i="85"/>
  <c r="DE25" i="85" s="1"/>
  <c r="L25" i="85" s="1"/>
  <c r="CB30" i="83"/>
  <c r="DE30" i="83" s="1"/>
  <c r="L30" i="83" s="1"/>
  <c r="C38" i="82"/>
  <c r="B39" i="82" s="1"/>
  <c r="A30" i="94"/>
  <c r="DE16" i="92"/>
  <c r="L16" i="92" s="1"/>
  <c r="DE19" i="91"/>
  <c r="L19" i="91" s="1"/>
  <c r="DE20" i="87"/>
  <c r="L20" i="87" s="1"/>
  <c r="DE21" i="90"/>
  <c r="L21" i="90" s="1"/>
  <c r="DE21" i="84"/>
  <c r="L21" i="84" s="1"/>
  <c r="DE21" i="93"/>
  <c r="L21" i="93" s="1"/>
  <c r="DE23" i="92"/>
  <c r="L23" i="92" s="1"/>
  <c r="DE24" i="88"/>
  <c r="L24" i="88" s="1"/>
  <c r="DE26" i="91"/>
  <c r="L26" i="91" s="1"/>
  <c r="DE27" i="87"/>
  <c r="L27" i="87" s="1"/>
  <c r="DE28" i="90"/>
  <c r="L28" i="90" s="1"/>
  <c r="DE28" i="84"/>
  <c r="L28" i="84" s="1"/>
  <c r="DE28" i="93"/>
  <c r="L28" i="93" s="1"/>
  <c r="DE30" i="92"/>
  <c r="L30" i="92" s="1"/>
  <c r="DE33" i="91"/>
  <c r="L33" i="91" s="1"/>
  <c r="DE34" i="87"/>
  <c r="L34" i="87" s="1"/>
  <c r="DE35" i="90"/>
  <c r="L35" i="90" s="1"/>
  <c r="DE35" i="93"/>
  <c r="L35" i="93" s="1"/>
  <c r="DE37" i="92"/>
  <c r="L37" i="92" s="1"/>
  <c r="DE37" i="86"/>
  <c r="L37" i="86" s="1"/>
  <c r="DE40" i="91"/>
  <c r="L40" i="91" s="1"/>
  <c r="DE41" i="87"/>
  <c r="L41" i="87" s="1"/>
  <c r="DE42" i="90"/>
  <c r="L42" i="90" s="1"/>
  <c r="DE42" i="93"/>
  <c r="L42" i="93" s="1"/>
  <c r="DE44" i="86"/>
  <c r="L44" i="86" s="1"/>
  <c r="DE44" i="92"/>
  <c r="L44" i="92" s="1"/>
  <c r="DE45" i="89"/>
  <c r="DE21" i="89"/>
  <c r="L21" i="89" s="1"/>
  <c r="DE23" i="91"/>
  <c r="L23" i="91" s="1"/>
  <c r="DE25" i="93"/>
  <c r="L25" i="93" s="1"/>
  <c r="DE27" i="92"/>
  <c r="L27" i="92" s="1"/>
  <c r="DE28" i="89"/>
  <c r="L28" i="89" s="1"/>
  <c r="DE30" i="91"/>
  <c r="L30" i="91" s="1"/>
  <c r="DE32" i="93"/>
  <c r="L32" i="93" s="1"/>
  <c r="DE34" i="92"/>
  <c r="L34" i="92" s="1"/>
  <c r="DE35" i="89"/>
  <c r="L35" i="89" s="1"/>
  <c r="DE37" i="91"/>
  <c r="L37" i="91" s="1"/>
  <c r="DE39" i="93"/>
  <c r="L39" i="93" s="1"/>
  <c r="DE41" i="92"/>
  <c r="L41" i="92" s="1"/>
  <c r="DE42" i="89"/>
  <c r="L42" i="89" s="1"/>
  <c r="DE44" i="91"/>
  <c r="L44" i="91" s="1"/>
  <c r="DE23" i="84"/>
  <c r="L23" i="84" s="1"/>
  <c r="DE25" i="86"/>
  <c r="L25" i="86" s="1"/>
  <c r="DE36" i="87"/>
  <c r="L36" i="87" s="1"/>
  <c r="DE37" i="84"/>
  <c r="L37" i="84" s="1"/>
  <c r="DE43" i="87"/>
  <c r="L43" i="87" s="1"/>
  <c r="DE44" i="84"/>
  <c r="L44" i="84" s="1"/>
  <c r="DE24" i="92"/>
  <c r="L24" i="92" s="1"/>
  <c r="DE29" i="93"/>
  <c r="L29" i="93" s="1"/>
  <c r="DE31" i="92"/>
  <c r="L31" i="92" s="1"/>
  <c r="DE36" i="93"/>
  <c r="L36" i="93" s="1"/>
  <c r="DE41" i="91"/>
  <c r="L41" i="91" s="1"/>
  <c r="DE40" i="93"/>
  <c r="L40" i="93" s="1"/>
  <c r="DE26" i="93"/>
  <c r="L26" i="93" s="1"/>
  <c r="DE42" i="92"/>
  <c r="L42" i="92" s="1"/>
  <c r="DE35" i="92"/>
  <c r="L35" i="92" s="1"/>
  <c r="DE28" i="92"/>
  <c r="L28" i="92" s="1"/>
  <c r="DE45" i="91"/>
  <c r="DE31" i="91"/>
  <c r="L31" i="91" s="1"/>
  <c r="DE24" i="91"/>
  <c r="L24" i="91" s="1"/>
  <c r="DE36" i="86"/>
  <c r="L36" i="86" s="1"/>
  <c r="DE33" i="93"/>
  <c r="L33" i="93" s="1"/>
  <c r="DE19" i="93"/>
  <c r="L19" i="93" s="1"/>
  <c r="DE28" i="91"/>
  <c r="L28" i="91" s="1"/>
  <c r="DE21" i="91"/>
  <c r="L21" i="91" s="1"/>
  <c r="DE44" i="93"/>
  <c r="L44" i="93" s="1"/>
  <c r="DE45" i="93"/>
  <c r="DE40" i="92"/>
  <c r="L40" i="92" s="1"/>
  <c r="DE33" i="92"/>
  <c r="L33" i="92" s="1"/>
  <c r="DE26" i="92"/>
  <c r="L26" i="92" s="1"/>
  <c r="DE19" i="92"/>
  <c r="L19" i="92" s="1"/>
  <c r="DE38" i="93"/>
  <c r="L38" i="93" s="1"/>
  <c r="DE24" i="93"/>
  <c r="L24" i="93" s="1"/>
  <c r="DE43" i="91"/>
  <c r="L43" i="91" s="1"/>
  <c r="DE17" i="93"/>
  <c r="L17" i="93" s="1"/>
  <c r="DE22" i="91"/>
  <c r="L22" i="91" s="1"/>
  <c r="DE23" i="87"/>
  <c r="L23" i="87" s="1"/>
  <c r="DE24" i="84"/>
  <c r="L24" i="84" s="1"/>
  <c r="DE44" i="87"/>
  <c r="L44" i="87" s="1"/>
  <c r="DE37" i="87"/>
  <c r="L37" i="87" s="1"/>
  <c r="DE45" i="84"/>
  <c r="M52" i="43"/>
  <c r="DE36" i="89"/>
  <c r="L36" i="89" s="1"/>
  <c r="DE24" i="87"/>
  <c r="L24" i="87" s="1"/>
  <c r="DE25" i="84"/>
  <c r="L25" i="84" s="1"/>
  <c r="DE39" i="84"/>
  <c r="L39" i="84" s="1"/>
  <c r="BO17" i="91"/>
  <c r="BO19" i="93"/>
  <c r="BO24" i="91"/>
  <c r="BO36" i="86"/>
  <c r="BO38" i="91"/>
  <c r="BO43" i="86"/>
  <c r="BO45" i="91"/>
  <c r="BO25" i="93"/>
  <c r="BO39" i="93"/>
  <c r="BO42" i="86"/>
  <c r="BO36" i="89"/>
  <c r="BO30" i="91"/>
  <c r="BO37" i="91"/>
  <c r="BO44" i="91"/>
  <c r="BO25" i="87"/>
  <c r="BO35" i="86"/>
  <c r="BO35" i="89"/>
  <c r="BO39" i="87"/>
  <c r="AP46" i="93"/>
  <c r="AQ46" i="93"/>
  <c r="AR46" i="93"/>
  <c r="DE22" i="90"/>
  <c r="DE43" i="90"/>
  <c r="L43" i="90" s="1"/>
  <c r="BA46" i="87"/>
  <c r="BA46" i="91"/>
  <c r="AZ46" i="84"/>
  <c r="AZ46" i="91"/>
  <c r="AZ46" i="87"/>
  <c r="BB46" i="91"/>
  <c r="AU46" i="91"/>
  <c r="AW46" i="86"/>
  <c r="AW46" i="89"/>
  <c r="K39" i="93"/>
  <c r="AV46" i="91"/>
  <c r="K37" i="84"/>
  <c r="L21" i="83"/>
  <c r="W22" i="88"/>
  <c r="W44" i="88" s="1"/>
  <c r="L28" i="83"/>
  <c r="L35" i="83"/>
  <c r="L42" i="83"/>
  <c r="A4" i="46"/>
  <c r="F48" i="43"/>
  <c r="G48" i="43"/>
  <c r="AK20" i="87" l="1"/>
  <c r="AK27" i="87"/>
  <c r="AK34" i="87"/>
  <c r="AK41" i="87"/>
  <c r="CC47" i="87"/>
  <c r="CC45" i="88"/>
  <c r="CC47" i="86"/>
  <c r="CC47" i="84"/>
  <c r="AK31" i="88"/>
  <c r="AK16" i="83"/>
  <c r="AK44" i="83"/>
  <c r="AK24" i="89"/>
  <c r="AK30" i="86"/>
  <c r="AK21" i="84"/>
  <c r="AK39" i="85"/>
  <c r="AK38" i="88"/>
  <c r="AK23" i="83"/>
  <c r="AK45" i="89"/>
  <c r="AK17" i="89"/>
  <c r="AK23" i="86"/>
  <c r="AK42" i="84"/>
  <c r="AK32" i="85"/>
  <c r="AK17" i="88"/>
  <c r="AK30" i="83"/>
  <c r="AK38" i="89"/>
  <c r="AK16" i="86"/>
  <c r="AK35" i="84"/>
  <c r="AK25" i="85"/>
  <c r="AK37" i="83"/>
  <c r="AK31" i="89"/>
  <c r="AK18" i="85"/>
  <c r="CC46" i="85"/>
  <c r="CC47" i="89"/>
  <c r="CC46" i="83"/>
  <c r="DE38" i="92"/>
  <c r="L38" i="92" s="1"/>
  <c r="DE27" i="91"/>
  <c r="L27" i="91" s="1"/>
  <c r="DE29" i="90"/>
  <c r="L29" i="90" s="1"/>
  <c r="B30" i="94"/>
  <c r="DE22" i="93"/>
  <c r="L22" i="93" s="1"/>
  <c r="DE31" i="93"/>
  <c r="L31" i="93" s="1"/>
  <c r="DE36" i="91"/>
  <c r="L36" i="91" s="1"/>
  <c r="DE29" i="91"/>
  <c r="L29" i="91" s="1"/>
  <c r="C39" i="82"/>
  <c r="B31" i="94" s="1"/>
  <c r="A31" i="94"/>
  <c r="DE43" i="93"/>
  <c r="L43" i="93" s="1"/>
  <c r="DE45" i="86"/>
  <c r="CB45" i="92"/>
  <c r="CC46" i="93"/>
  <c r="CC46" i="87"/>
  <c r="CE46" i="89"/>
  <c r="CB45" i="90"/>
  <c r="CC45" i="90"/>
  <c r="DE20" i="92"/>
  <c r="L20" i="92" s="1"/>
  <c r="CE45" i="92"/>
  <c r="DE15" i="91"/>
  <c r="L15" i="91" s="1"/>
  <c r="CC46" i="91"/>
  <c r="DE20" i="91"/>
  <c r="L20" i="91" s="1"/>
  <c r="CB46" i="91"/>
  <c r="DE15" i="93"/>
  <c r="L15" i="93" s="1"/>
  <c r="CB46" i="93"/>
  <c r="CC46" i="89"/>
  <c r="CB44" i="88"/>
  <c r="DE18" i="90"/>
  <c r="L18" i="90" s="1"/>
  <c r="CE45" i="90"/>
  <c r="CB46" i="87"/>
  <c r="CB46" i="89"/>
  <c r="CE46" i="87"/>
  <c r="CC44" i="88"/>
  <c r="DE18" i="93"/>
  <c r="L18" i="93" s="1"/>
  <c r="CE46" i="93"/>
  <c r="CC45" i="92"/>
  <c r="DE16" i="91"/>
  <c r="L16" i="91" s="1"/>
  <c r="CE46" i="91"/>
  <c r="CE44" i="88"/>
  <c r="DE15" i="83"/>
  <c r="CE45" i="83"/>
  <c r="CE46" i="84"/>
  <c r="CC45" i="85"/>
  <c r="DE15" i="84"/>
  <c r="L15" i="84" s="1"/>
  <c r="CB46" i="84"/>
  <c r="CC45" i="83"/>
  <c r="CB45" i="83"/>
  <c r="CC46" i="86"/>
  <c r="CB45" i="85"/>
  <c r="CE46" i="86"/>
  <c r="CB46" i="86"/>
  <c r="CC46" i="84"/>
  <c r="CE45" i="85"/>
  <c r="DE35" i="91"/>
  <c r="L35" i="91" s="1"/>
  <c r="DE15" i="85"/>
  <c r="L15" i="85" s="1"/>
  <c r="DE45" i="87"/>
  <c r="DE25" i="92"/>
  <c r="L25" i="92" s="1"/>
  <c r="DE32" i="92"/>
  <c r="L32" i="92" s="1"/>
  <c r="DE16" i="93"/>
  <c r="L16" i="93" s="1"/>
  <c r="DE18" i="92"/>
  <c r="L18" i="92" s="1"/>
  <c r="DE23" i="93"/>
  <c r="L23" i="93" s="1"/>
  <c r="DE30" i="93"/>
  <c r="L30" i="93" s="1"/>
  <c r="DE42" i="91"/>
  <c r="L42" i="91" s="1"/>
  <c r="DE34" i="83"/>
  <c r="L34" i="83" s="1"/>
  <c r="DE27" i="83"/>
  <c r="L27" i="83" s="1"/>
  <c r="DE37" i="93"/>
  <c r="L37" i="93" s="1"/>
  <c r="DE39" i="92"/>
  <c r="L39" i="92" s="1"/>
  <c r="DE41" i="83"/>
  <c r="L41" i="83" s="1"/>
  <c r="DE25" i="83"/>
  <c r="L25" i="83" s="1"/>
  <c r="DE22" i="83"/>
  <c r="L22" i="83" s="1"/>
  <c r="W22" i="83" s="1"/>
  <c r="W45" i="83" s="1"/>
  <c r="DE36" i="83"/>
  <c r="L36" i="83" s="1"/>
  <c r="DE29" i="83"/>
  <c r="L29" i="83" s="1"/>
  <c r="DE39" i="83"/>
  <c r="L39" i="83" s="1"/>
  <c r="DE43" i="83"/>
  <c r="L43" i="83" s="1"/>
  <c r="DE18" i="83"/>
  <c r="L18" i="83" s="1"/>
  <c r="DE20" i="83"/>
  <c r="L20" i="83" s="1"/>
  <c r="DE32" i="83"/>
  <c r="L32" i="83" s="1"/>
  <c r="DE26" i="83"/>
  <c r="L26" i="83" s="1"/>
  <c r="DE24" i="83"/>
  <c r="L24" i="83" s="1"/>
  <c r="DE33" i="83"/>
  <c r="L33" i="83" s="1"/>
  <c r="DE38" i="83"/>
  <c r="L38" i="83" s="1"/>
  <c r="DE40" i="83"/>
  <c r="L40" i="83" s="1"/>
  <c r="DE17" i="83"/>
  <c r="DE19" i="83"/>
  <c r="L19" i="83" s="1"/>
  <c r="DE31" i="83"/>
  <c r="L31" i="83" s="1"/>
  <c r="W22" i="90"/>
  <c r="W45" i="90" s="1"/>
  <c r="L22" i="90"/>
  <c r="W22" i="93"/>
  <c r="W46" i="93" s="1"/>
  <c r="DE17" i="92"/>
  <c r="L17" i="92" s="1"/>
  <c r="DE21" i="92"/>
  <c r="L21" i="92" s="1"/>
  <c r="DE38" i="91"/>
  <c r="L38" i="91" s="1"/>
  <c r="DE34" i="91"/>
  <c r="L34" i="91" s="1"/>
  <c r="DE17" i="91"/>
  <c r="L17" i="91" s="1"/>
  <c r="DE36" i="90"/>
  <c r="L36" i="90" s="1"/>
  <c r="DE15" i="90"/>
  <c r="L15" i="90" s="1"/>
  <c r="DE34" i="89"/>
  <c r="L34" i="89" s="1"/>
  <c r="DE19" i="89"/>
  <c r="L19" i="89" s="1"/>
  <c r="DE33" i="89"/>
  <c r="L33" i="89" s="1"/>
  <c r="DE15" i="89"/>
  <c r="L15" i="89" s="1"/>
  <c r="DE41" i="89"/>
  <c r="L41" i="89" s="1"/>
  <c r="DE40" i="89"/>
  <c r="L40" i="89" s="1"/>
  <c r="W22" i="89"/>
  <c r="W46" i="89" s="1"/>
  <c r="DE22" i="89"/>
  <c r="L22" i="89" s="1"/>
  <c r="DE39" i="89"/>
  <c r="L39" i="89" s="1"/>
  <c r="DE26" i="89"/>
  <c r="L26" i="89" s="1"/>
  <c r="DE29" i="89"/>
  <c r="L29" i="89" s="1"/>
  <c r="DE18" i="89"/>
  <c r="L18" i="89" s="1"/>
  <c r="DE20" i="89"/>
  <c r="L20" i="89" s="1"/>
  <c r="DE32" i="89"/>
  <c r="L32" i="89" s="1"/>
  <c r="DE27" i="89"/>
  <c r="L27" i="89" s="1"/>
  <c r="DE30" i="88"/>
  <c r="L30" i="88" s="1"/>
  <c r="DE25" i="88"/>
  <c r="L25" i="88" s="1"/>
  <c r="DE40" i="88"/>
  <c r="L40" i="88" s="1"/>
  <c r="DE19" i="88"/>
  <c r="L19" i="88" s="1"/>
  <c r="DE37" i="88"/>
  <c r="L37" i="88" s="1"/>
  <c r="DE39" i="88"/>
  <c r="L39" i="88" s="1"/>
  <c r="DE20" i="88"/>
  <c r="L20" i="88" s="1"/>
  <c r="DE18" i="88"/>
  <c r="L18" i="88" s="1"/>
  <c r="DE33" i="88"/>
  <c r="L33" i="88" s="1"/>
  <c r="DE42" i="88"/>
  <c r="L42" i="88" s="1"/>
  <c r="DE23" i="88"/>
  <c r="L23" i="88" s="1"/>
  <c r="DE34" i="88"/>
  <c r="L34" i="88" s="1"/>
  <c r="DE35" i="88"/>
  <c r="L35" i="88" s="1"/>
  <c r="DE41" i="88"/>
  <c r="L41" i="88" s="1"/>
  <c r="DE21" i="88"/>
  <c r="L21" i="88" s="1"/>
  <c r="DE32" i="88"/>
  <c r="L32" i="88" s="1"/>
  <c r="DE28" i="88"/>
  <c r="L28" i="88" s="1"/>
  <c r="DE27" i="88"/>
  <c r="L27" i="88" s="1"/>
  <c r="DE16" i="88"/>
  <c r="L16" i="88" s="1"/>
  <c r="DE26" i="88"/>
  <c r="L26" i="88" s="1"/>
  <c r="DE17" i="87"/>
  <c r="L17" i="87" s="1"/>
  <c r="DE21" i="87"/>
  <c r="L21" i="87" s="1"/>
  <c r="DE16" i="87"/>
  <c r="L16" i="87" s="1"/>
  <c r="DE26" i="87"/>
  <c r="L26" i="87" s="1"/>
  <c r="DE38" i="87"/>
  <c r="L38" i="87" s="1"/>
  <c r="DE33" i="87"/>
  <c r="L33" i="87" s="1"/>
  <c r="DE35" i="87"/>
  <c r="L35" i="87" s="1"/>
  <c r="DE31" i="87"/>
  <c r="L31" i="87" s="1"/>
  <c r="DE30" i="87"/>
  <c r="L30" i="87" s="1"/>
  <c r="DE29" i="87"/>
  <c r="L29" i="87" s="1"/>
  <c r="DE19" i="87"/>
  <c r="L19" i="87" s="1"/>
  <c r="DE28" i="87"/>
  <c r="L28" i="87" s="1"/>
  <c r="DE40" i="87"/>
  <c r="L40" i="87" s="1"/>
  <c r="W22" i="87"/>
  <c r="W46" i="87" s="1"/>
  <c r="DE22" i="87"/>
  <c r="L22" i="87" s="1"/>
  <c r="DE42" i="87"/>
  <c r="L42" i="87" s="1"/>
  <c r="DE32" i="86"/>
  <c r="L32" i="86" s="1"/>
  <c r="DE27" i="86"/>
  <c r="L27" i="86" s="1"/>
  <c r="DE31" i="86"/>
  <c r="L31" i="86" s="1"/>
  <c r="DE26" i="86"/>
  <c r="L26" i="86" s="1"/>
  <c r="DE29" i="86"/>
  <c r="L29" i="86" s="1"/>
  <c r="W22" i="86"/>
  <c r="W46" i="86" s="1"/>
  <c r="DE22" i="86"/>
  <c r="L22" i="86" s="1"/>
  <c r="DE24" i="86"/>
  <c r="L24" i="86" s="1"/>
  <c r="DE18" i="86"/>
  <c r="L18" i="86" s="1"/>
  <c r="DE41" i="86"/>
  <c r="L41" i="86" s="1"/>
  <c r="DE20" i="86"/>
  <c r="L20" i="86" s="1"/>
  <c r="DE33" i="86"/>
  <c r="L33" i="86" s="1"/>
  <c r="DE34" i="86"/>
  <c r="L34" i="86" s="1"/>
  <c r="DE43" i="86"/>
  <c r="L43" i="86" s="1"/>
  <c r="DE38" i="86"/>
  <c r="L38" i="86" s="1"/>
  <c r="DE19" i="86"/>
  <c r="L19" i="86" s="1"/>
  <c r="DE15" i="86"/>
  <c r="L15" i="86" s="1"/>
  <c r="DE17" i="86"/>
  <c r="L17" i="86" s="1"/>
  <c r="DE29" i="85"/>
  <c r="L29" i="85" s="1"/>
  <c r="DE31" i="85"/>
  <c r="L31" i="85" s="1"/>
  <c r="DE33" i="85"/>
  <c r="L33" i="85" s="1"/>
  <c r="DE42" i="85"/>
  <c r="L42" i="85" s="1"/>
  <c r="DE38" i="85"/>
  <c r="L38" i="85" s="1"/>
  <c r="DE27" i="85"/>
  <c r="L27" i="85" s="1"/>
  <c r="DE36" i="85"/>
  <c r="L36" i="85" s="1"/>
  <c r="DE21" i="85"/>
  <c r="L21" i="85" s="1"/>
  <c r="DE26" i="85"/>
  <c r="L26" i="85" s="1"/>
  <c r="DE20" i="85"/>
  <c r="L20" i="85" s="1"/>
  <c r="DE41" i="85"/>
  <c r="L41" i="85" s="1"/>
  <c r="W22" i="85"/>
  <c r="W45" i="85" s="1"/>
  <c r="DE22" i="85"/>
  <c r="L22" i="85" s="1"/>
  <c r="DE35" i="85"/>
  <c r="L35" i="85" s="1"/>
  <c r="DE40" i="85"/>
  <c r="L40" i="85" s="1"/>
  <c r="DE34" i="85"/>
  <c r="L34" i="85" s="1"/>
  <c r="DE28" i="85"/>
  <c r="L28" i="85" s="1"/>
  <c r="DE17" i="85"/>
  <c r="L17" i="85" s="1"/>
  <c r="DE19" i="85"/>
  <c r="L19" i="85" s="1"/>
  <c r="DE43" i="85"/>
  <c r="L43" i="85" s="1"/>
  <c r="DE24" i="85"/>
  <c r="L24" i="85" s="1"/>
  <c r="DE18" i="84"/>
  <c r="L18" i="84" s="1"/>
  <c r="DE20" i="84"/>
  <c r="L20" i="84" s="1"/>
  <c r="DE36" i="84"/>
  <c r="L36" i="84" s="1"/>
  <c r="DE17" i="84"/>
  <c r="L17" i="84" s="1"/>
  <c r="DE32" i="84"/>
  <c r="L32" i="84" s="1"/>
  <c r="DE27" i="84"/>
  <c r="L27" i="84" s="1"/>
  <c r="DE30" i="84"/>
  <c r="L30" i="84" s="1"/>
  <c r="DE38" i="84"/>
  <c r="L38" i="84" s="1"/>
  <c r="DE29" i="84"/>
  <c r="L29" i="84" s="1"/>
  <c r="DE34" i="84"/>
  <c r="L34" i="84" s="1"/>
  <c r="DE43" i="84"/>
  <c r="L43" i="84" s="1"/>
  <c r="DE41" i="84"/>
  <c r="L41" i="84" s="1"/>
  <c r="DE31" i="84"/>
  <c r="L31" i="84" s="1"/>
  <c r="W22" i="84"/>
  <c r="W46" i="84" s="1"/>
  <c r="DE22" i="84"/>
  <c r="L22" i="84" s="1"/>
  <c r="DE16" i="84"/>
  <c r="L16" i="84" s="1"/>
  <c r="BN15" i="84"/>
  <c r="BN15" i="90"/>
  <c r="K15" i="90" s="1"/>
  <c r="BN17" i="86"/>
  <c r="K17" i="86" s="1"/>
  <c r="BN19" i="85"/>
  <c r="K19" i="85" s="1"/>
  <c r="BN17" i="83"/>
  <c r="BN18" i="88"/>
  <c r="K18" i="88" s="1"/>
  <c r="BN18" i="89"/>
  <c r="K18" i="89" s="1"/>
  <c r="BN21" i="87"/>
  <c r="K21" i="87" s="1"/>
  <c r="BN22" i="93"/>
  <c r="BN22" i="84"/>
  <c r="BN24" i="86"/>
  <c r="K24" i="86" s="1"/>
  <c r="K24" i="92"/>
  <c r="BN26" i="85"/>
  <c r="K26" i="85" s="1"/>
  <c r="BN24" i="83"/>
  <c r="BN25" i="88"/>
  <c r="K25" i="88" s="1"/>
  <c r="BN27" i="91"/>
  <c r="K27" i="91" s="1"/>
  <c r="BN28" i="87"/>
  <c r="K28" i="87" s="1"/>
  <c r="BN29" i="93"/>
  <c r="BN29" i="90"/>
  <c r="K29" i="90" s="1"/>
  <c r="BN29" i="84"/>
  <c r="BN31" i="86"/>
  <c r="K31" i="86" s="1"/>
  <c r="K31" i="92"/>
  <c r="BN31" i="83"/>
  <c r="BN33" i="85"/>
  <c r="K33" i="85" s="1"/>
  <c r="BN32" i="88"/>
  <c r="K32" i="88" s="1"/>
  <c r="BN32" i="89"/>
  <c r="K32" i="89" s="1"/>
  <c r="BN34" i="91"/>
  <c r="K34" i="91" s="1"/>
  <c r="BN35" i="87"/>
  <c r="K35" i="87" s="1"/>
  <c r="BN36" i="90"/>
  <c r="K36" i="90" s="1"/>
  <c r="BN36" i="84"/>
  <c r="BN38" i="86"/>
  <c r="K38" i="86" s="1"/>
  <c r="K38" i="92"/>
  <c r="BN40" i="85"/>
  <c r="K40" i="85" s="1"/>
  <c r="BN38" i="83"/>
  <c r="BN39" i="89"/>
  <c r="K39" i="89" s="1"/>
  <c r="BN39" i="88"/>
  <c r="K39" i="88" s="1"/>
  <c r="BN41" i="91"/>
  <c r="K41" i="91" s="1"/>
  <c r="BN42" i="87"/>
  <c r="K42" i="87" s="1"/>
  <c r="BN43" i="90"/>
  <c r="K43" i="90" s="1"/>
  <c r="BN43" i="84"/>
  <c r="BN45" i="86"/>
  <c r="K45" i="86" s="1"/>
  <c r="K18" i="92"/>
  <c r="BN42" i="91"/>
  <c r="K42" i="91" s="1"/>
  <c r="K32" i="92"/>
  <c r="BN30" i="93"/>
  <c r="BN34" i="88"/>
  <c r="K34" i="88" s="1"/>
  <c r="K39" i="92"/>
  <c r="K25" i="92"/>
  <c r="BN21" i="91"/>
  <c r="K21" i="91" s="1"/>
  <c r="BN44" i="90"/>
  <c r="K44" i="90" s="1"/>
  <c r="BN40" i="89"/>
  <c r="K40" i="89" s="1"/>
  <c r="BN16" i="90"/>
  <c r="K16" i="90" s="1"/>
  <c r="BN37" i="90"/>
  <c r="K37" i="90" s="1"/>
  <c r="BN30" i="90"/>
  <c r="K30" i="90" s="1"/>
  <c r="BN16" i="93"/>
  <c r="BN16" i="87"/>
  <c r="K16" i="87" s="1"/>
  <c r="BN31" i="84"/>
  <c r="BN40" i="83"/>
  <c r="BN33" i="83"/>
  <c r="BN26" i="83"/>
  <c r="BN19" i="89"/>
  <c r="K19" i="89" s="1"/>
  <c r="BN20" i="88"/>
  <c r="K20" i="88" s="1"/>
  <c r="BN33" i="86"/>
  <c r="K33" i="86" s="1"/>
  <c r="BN17" i="84"/>
  <c r="BN41" i="88"/>
  <c r="K41" i="88" s="1"/>
  <c r="BN42" i="85"/>
  <c r="K42" i="85" s="1"/>
  <c r="BN38" i="84"/>
  <c r="BN19" i="83"/>
  <c r="BN26" i="86"/>
  <c r="K26" i="86" s="1"/>
  <c r="BN35" i="85"/>
  <c r="K35" i="85" s="1"/>
  <c r="BN19" i="86"/>
  <c r="K19" i="86" s="1"/>
  <c r="BN33" i="89"/>
  <c r="K33" i="89" s="1"/>
  <c r="BN30" i="87"/>
  <c r="K30" i="87" s="1"/>
  <c r="BN28" i="85"/>
  <c r="K28" i="85" s="1"/>
  <c r="BN23" i="87"/>
  <c r="K23" i="87" s="1"/>
  <c r="BN21" i="85"/>
  <c r="K21" i="85" s="1"/>
  <c r="BN23" i="90"/>
  <c r="K23" i="90" s="1"/>
  <c r="BN26" i="89"/>
  <c r="K26" i="89" s="1"/>
  <c r="BN27" i="88"/>
  <c r="K27" i="88" s="1"/>
  <c r="DE44" i="90"/>
  <c r="L44" i="90" s="1"/>
  <c r="DE40" i="90"/>
  <c r="L40" i="90" s="1"/>
  <c r="AN46" i="91"/>
  <c r="DE19" i="90"/>
  <c r="L19" i="90" s="1"/>
  <c r="DE37" i="90"/>
  <c r="L37" i="90" s="1"/>
  <c r="DE25" i="90"/>
  <c r="L25" i="90" s="1"/>
  <c r="BO24" i="93"/>
  <c r="BO22" i="86"/>
  <c r="V22" i="86"/>
  <c r="V46" i="86" s="1"/>
  <c r="BO19" i="87"/>
  <c r="BO32" i="93"/>
  <c r="K32" i="93"/>
  <c r="BO15" i="86"/>
  <c r="AN46" i="86"/>
  <c r="BO29" i="86"/>
  <c r="DE24" i="90"/>
  <c r="L24" i="90" s="1"/>
  <c r="AW46" i="87"/>
  <c r="BO29" i="89"/>
  <c r="BO22" i="89"/>
  <c r="V22" i="89"/>
  <c r="V46" i="89" s="1"/>
  <c r="BO15" i="89"/>
  <c r="AN46" i="89"/>
  <c r="AU46" i="87"/>
  <c r="BB46" i="86"/>
  <c r="BC46" i="86"/>
  <c r="K44" i="84"/>
  <c r="AY46" i="84"/>
  <c r="AY46" i="87"/>
  <c r="AV46" i="84"/>
  <c r="AZ46" i="93"/>
  <c r="BA46" i="93"/>
  <c r="AY46" i="93"/>
  <c r="BC46" i="91"/>
  <c r="BB46" i="89"/>
  <c r="BC46" i="89"/>
  <c r="AT46" i="86"/>
  <c r="AU46" i="93"/>
  <c r="K23" i="84"/>
  <c r="AT46" i="84"/>
  <c r="K25" i="93"/>
  <c r="AW46" i="93"/>
  <c r="AW46" i="91"/>
  <c r="AX46" i="89"/>
  <c r="AT46" i="87"/>
  <c r="AX46" i="86"/>
  <c r="AT46" i="93"/>
  <c r="AT46" i="89"/>
  <c r="AO46" i="93"/>
  <c r="AP46" i="91"/>
  <c r="AQ46" i="91"/>
  <c r="V22" i="90"/>
  <c r="V45" i="90" s="1"/>
  <c r="K19" i="93"/>
  <c r="AS46" i="93"/>
  <c r="DE17" i="90"/>
  <c r="L17" i="90" s="1"/>
  <c r="AR46" i="91"/>
  <c r="AO46" i="91"/>
  <c r="AS46" i="91"/>
  <c r="W22" i="91"/>
  <c r="W46" i="91" s="1"/>
  <c r="K18" i="93"/>
  <c r="AM46" i="87"/>
  <c r="AN46" i="87"/>
  <c r="AM46" i="86"/>
  <c r="AN46" i="93"/>
  <c r="AM46" i="84"/>
  <c r="BO18" i="93"/>
  <c r="AM46" i="93"/>
  <c r="BO16" i="91"/>
  <c r="AM46" i="91"/>
  <c r="AN46" i="84"/>
  <c r="AM46" i="89"/>
  <c r="V39" i="87"/>
  <c r="V46" i="87" s="1"/>
  <c r="BO22" i="91"/>
  <c r="BO29" i="91"/>
  <c r="BO36" i="91"/>
  <c r="BO43" i="91"/>
  <c r="DE33" i="90"/>
  <c r="L33" i="90" s="1"/>
  <c r="BO28" i="89"/>
  <c r="BO28" i="86"/>
  <c r="BO21" i="89"/>
  <c r="BO21" i="86"/>
  <c r="BO32" i="87"/>
  <c r="K19" i="84"/>
  <c r="BO19" i="84"/>
  <c r="BO18" i="87"/>
  <c r="BO24" i="87"/>
  <c r="BO25" i="84"/>
  <c r="DE38" i="90"/>
  <c r="L38" i="90" s="1"/>
  <c r="DE32" i="90"/>
  <c r="L32" i="90" s="1"/>
  <c r="DE23" i="90"/>
  <c r="L23" i="90" s="1"/>
  <c r="DE39" i="90"/>
  <c r="L39" i="90" s="1"/>
  <c r="DE30" i="90"/>
  <c r="L30" i="90" s="1"/>
  <c r="DE26" i="90"/>
  <c r="L26" i="90" s="1"/>
  <c r="DE31" i="90"/>
  <c r="L31" i="90" s="1"/>
  <c r="DE16" i="90"/>
  <c r="L16" i="90" s="1"/>
  <c r="BO27" i="84"/>
  <c r="K27" i="84"/>
  <c r="BO20" i="84"/>
  <c r="BO42" i="83"/>
  <c r="K42" i="83"/>
  <c r="BO33" i="84"/>
  <c r="K33" i="84"/>
  <c r="BO25" i="90"/>
  <c r="BO40" i="87"/>
  <c r="BO33" i="87"/>
  <c r="BO44" i="85"/>
  <c r="BO22" i="88"/>
  <c r="V22" i="88"/>
  <c r="V44" i="88" s="1"/>
  <c r="BO40" i="90"/>
  <c r="BO33" i="90"/>
  <c r="BO26" i="90"/>
  <c r="BO19" i="90"/>
  <c r="BO40" i="84"/>
  <c r="K40" i="84"/>
  <c r="BO32" i="90"/>
  <c r="BO21" i="83"/>
  <c r="K21" i="83"/>
  <c r="BO40" i="93"/>
  <c r="K40" i="93"/>
  <c r="BO33" i="93"/>
  <c r="K33" i="93"/>
  <c r="BO26" i="87"/>
  <c r="BO16" i="88"/>
  <c r="BO29" i="88"/>
  <c r="BO23" i="85"/>
  <c r="BO37" i="88"/>
  <c r="BO31" i="91"/>
  <c r="BO26" i="93"/>
  <c r="BO17" i="85"/>
  <c r="BO39" i="90"/>
  <c r="K28" i="83"/>
  <c r="BO28" i="83"/>
  <c r="BO38" i="85"/>
  <c r="BO30" i="88"/>
  <c r="BO23" i="88"/>
  <c r="BO15" i="83"/>
  <c r="BO36" i="88"/>
  <c r="BO30" i="85"/>
  <c r="BO18" i="90"/>
  <c r="K43" i="83"/>
  <c r="BO43" i="83"/>
  <c r="BO36" i="83"/>
  <c r="K36" i="83"/>
  <c r="BO31" i="85"/>
  <c r="BO24" i="85"/>
  <c r="BO35" i="83"/>
  <c r="K35" i="83"/>
  <c r="BO26" i="84"/>
  <c r="K26" i="84"/>
  <c r="BO15" i="88"/>
  <c r="BO41" i="84"/>
  <c r="K41" i="84"/>
  <c r="K34" i="84"/>
  <c r="BO34" i="84"/>
  <c r="K29" i="83"/>
  <c r="BO29" i="83"/>
  <c r="BO22" i="83"/>
  <c r="K22" i="83"/>
  <c r="V22" i="83" s="1"/>
  <c r="V45" i="83" s="1"/>
  <c r="BO43" i="88"/>
  <c r="BO37" i="85"/>
  <c r="BO16" i="85"/>
  <c r="L15" i="83"/>
  <c r="B4" i="46"/>
  <c r="CB47" i="87" l="1"/>
  <c r="CB47" i="84"/>
  <c r="CB46" i="83"/>
  <c r="CB45" i="88"/>
  <c r="CB46" i="85"/>
  <c r="CB47" i="86"/>
  <c r="CB47" i="89"/>
  <c r="BN45" i="89"/>
  <c r="K45" i="89" s="1"/>
  <c r="BO45" i="89"/>
  <c r="BN40" i="91"/>
  <c r="K40" i="91" s="1"/>
  <c r="BO40" i="91"/>
  <c r="BO35" i="93"/>
  <c r="BN35" i="93"/>
  <c r="K35" i="93" s="1"/>
  <c r="K30" i="92"/>
  <c r="BN24" i="88"/>
  <c r="K24" i="88" s="1"/>
  <c r="BO24" i="88"/>
  <c r="BO20" i="87"/>
  <c r="BN20" i="87"/>
  <c r="K20" i="87" s="1"/>
  <c r="BO44" i="83"/>
  <c r="BN44" i="83"/>
  <c r="K44" i="83" s="1"/>
  <c r="BO39" i="85"/>
  <c r="BN39" i="85"/>
  <c r="K39" i="85" s="1"/>
  <c r="BN35" i="90"/>
  <c r="K35" i="90" s="1"/>
  <c r="BO35" i="90"/>
  <c r="BO30" i="86"/>
  <c r="BN30" i="86"/>
  <c r="K30" i="86" s="1"/>
  <c r="BO24" i="89"/>
  <c r="BN24" i="89"/>
  <c r="K24" i="89" s="1"/>
  <c r="BO19" i="91"/>
  <c r="BN19" i="91"/>
  <c r="K19" i="91" s="1"/>
  <c r="BO44" i="86"/>
  <c r="BN44" i="86"/>
  <c r="K44" i="86" s="1"/>
  <c r="BN38" i="88"/>
  <c r="K38" i="88" s="1"/>
  <c r="BO38" i="88"/>
  <c r="BN34" i="87"/>
  <c r="K34" i="87" s="1"/>
  <c r="BO34" i="87"/>
  <c r="BO28" i="93"/>
  <c r="BN28" i="93"/>
  <c r="K28" i="93" s="1"/>
  <c r="BN23" i="83"/>
  <c r="K23" i="83" s="1"/>
  <c r="BO23" i="83"/>
  <c r="BO18" i="85"/>
  <c r="BN18" i="85"/>
  <c r="K18" i="85" s="1"/>
  <c r="K44" i="92"/>
  <c r="BO38" i="89"/>
  <c r="BN38" i="89"/>
  <c r="K38" i="89" s="1"/>
  <c r="BN33" i="91"/>
  <c r="K33" i="91" s="1"/>
  <c r="BO33" i="91"/>
  <c r="BN28" i="84"/>
  <c r="K28" i="84" s="1"/>
  <c r="BO28" i="84"/>
  <c r="BN23" i="86"/>
  <c r="K23" i="86" s="1"/>
  <c r="BO23" i="86"/>
  <c r="BO17" i="89"/>
  <c r="BN17" i="89"/>
  <c r="K17" i="89" s="1"/>
  <c r="BN42" i="93"/>
  <c r="K42" i="93" s="1"/>
  <c r="BO42" i="93"/>
  <c r="BN37" i="83"/>
  <c r="K37" i="83" s="1"/>
  <c r="BO37" i="83"/>
  <c r="BN32" i="85"/>
  <c r="K32" i="85" s="1"/>
  <c r="BO32" i="85"/>
  <c r="BO28" i="90"/>
  <c r="BN28" i="90"/>
  <c r="K28" i="90" s="1"/>
  <c r="K23" i="92"/>
  <c r="BO17" i="88"/>
  <c r="BN17" i="88"/>
  <c r="K17" i="88" s="1"/>
  <c r="BO42" i="84"/>
  <c r="BN42" i="84"/>
  <c r="K42" i="84" s="1"/>
  <c r="K37" i="92"/>
  <c r="BO31" i="89"/>
  <c r="BN31" i="89"/>
  <c r="K31" i="89" s="1"/>
  <c r="BN27" i="87"/>
  <c r="K27" i="87" s="1"/>
  <c r="BO27" i="87"/>
  <c r="BN21" i="84"/>
  <c r="K21" i="84" s="1"/>
  <c r="BO21" i="84"/>
  <c r="BN16" i="83"/>
  <c r="K16" i="83" s="1"/>
  <c r="BO16" i="83"/>
  <c r="BN42" i="90"/>
  <c r="K42" i="90" s="1"/>
  <c r="BO42" i="90"/>
  <c r="BO37" i="86"/>
  <c r="BN37" i="86"/>
  <c r="K37" i="86" s="1"/>
  <c r="BO31" i="88"/>
  <c r="BN31" i="88"/>
  <c r="K31" i="88" s="1"/>
  <c r="BN26" i="91"/>
  <c r="K26" i="91" s="1"/>
  <c r="BO26" i="91"/>
  <c r="BO21" i="93"/>
  <c r="BN21" i="93"/>
  <c r="K21" i="93" s="1"/>
  <c r="K16" i="92"/>
  <c r="BO41" i="87"/>
  <c r="BN41" i="87"/>
  <c r="K41" i="87" s="1"/>
  <c r="BO35" i="84"/>
  <c r="BN35" i="84"/>
  <c r="K35" i="84" s="1"/>
  <c r="BO30" i="83"/>
  <c r="BN30" i="83"/>
  <c r="K30" i="83" s="1"/>
  <c r="BO25" i="85"/>
  <c r="BN25" i="85"/>
  <c r="K25" i="85" s="1"/>
  <c r="BN21" i="90"/>
  <c r="K21" i="90" s="1"/>
  <c r="BO21" i="90"/>
  <c r="BO16" i="86"/>
  <c r="BN16" i="86"/>
  <c r="K16" i="86" s="1"/>
  <c r="DE44" i="88"/>
  <c r="DE45" i="88" s="1"/>
  <c r="BO42" i="91"/>
  <c r="L45" i="93"/>
  <c r="L46" i="93" s="1"/>
  <c r="L45" i="85"/>
  <c r="L44" i="88"/>
  <c r="DE45" i="83"/>
  <c r="L17" i="83"/>
  <c r="L45" i="83" s="1"/>
  <c r="BO43" i="93"/>
  <c r="BN43" i="93"/>
  <c r="K43" i="93" s="1"/>
  <c r="BO44" i="93"/>
  <c r="BN44" i="93"/>
  <c r="K44" i="93" s="1"/>
  <c r="BO23" i="93"/>
  <c r="BN23" i="93"/>
  <c r="K23" i="93" s="1"/>
  <c r="BO15" i="93"/>
  <c r="BN15" i="93"/>
  <c r="K15" i="93" s="1"/>
  <c r="BO37" i="93"/>
  <c r="BN37" i="93"/>
  <c r="K37" i="93" s="1"/>
  <c r="BO36" i="93"/>
  <c r="BN36" i="93"/>
  <c r="K36" i="93" s="1"/>
  <c r="DE45" i="85"/>
  <c r="L45" i="91"/>
  <c r="L46" i="91" s="1"/>
  <c r="DE45" i="92"/>
  <c r="L45" i="89"/>
  <c r="L46" i="89" s="1"/>
  <c r="L45" i="87"/>
  <c r="L46" i="87" s="1"/>
  <c r="L45" i="86"/>
  <c r="L46" i="86" s="1"/>
  <c r="L45" i="84"/>
  <c r="L46" i="84" s="1"/>
  <c r="BO24" i="84"/>
  <c r="BN24" i="84"/>
  <c r="K24" i="84" s="1"/>
  <c r="BO22" i="90"/>
  <c r="BN22" i="90"/>
  <c r="BO28" i="91"/>
  <c r="BN28" i="91"/>
  <c r="K28" i="91" s="1"/>
  <c r="BO35" i="91"/>
  <c r="BN35" i="91"/>
  <c r="K35" i="91" s="1"/>
  <c r="BO20" i="91"/>
  <c r="BN20" i="91"/>
  <c r="K20" i="91" s="1"/>
  <c r="BO25" i="89"/>
  <c r="BN25" i="89"/>
  <c r="BO37" i="87"/>
  <c r="BN37" i="87"/>
  <c r="K37" i="87" s="1"/>
  <c r="BO44" i="87"/>
  <c r="BN44" i="87"/>
  <c r="K44" i="87" s="1"/>
  <c r="BO45" i="86"/>
  <c r="BO38" i="83"/>
  <c r="K38" i="83"/>
  <c r="BO34" i="91"/>
  <c r="BO29" i="90"/>
  <c r="BO18" i="88"/>
  <c r="BO43" i="84"/>
  <c r="K43" i="84"/>
  <c r="BO40" i="85"/>
  <c r="BO32" i="89"/>
  <c r="BO29" i="93"/>
  <c r="K29" i="93"/>
  <c r="BO24" i="86"/>
  <c r="K17" i="83"/>
  <c r="BO17" i="83"/>
  <c r="BO43" i="90"/>
  <c r="BO32" i="88"/>
  <c r="BO28" i="87"/>
  <c r="K22" i="84"/>
  <c r="V22" i="84" s="1"/>
  <c r="V46" i="84" s="1"/>
  <c r="BO22" i="84"/>
  <c r="BO19" i="85"/>
  <c r="BO42" i="87"/>
  <c r="BO38" i="86"/>
  <c r="BO33" i="85"/>
  <c r="BO27" i="91"/>
  <c r="BO36" i="84"/>
  <c r="K36" i="84"/>
  <c r="K31" i="83"/>
  <c r="BO31" i="83"/>
  <c r="BO25" i="88"/>
  <c r="K22" i="93"/>
  <c r="V22" i="93" s="1"/>
  <c r="V46" i="93" s="1"/>
  <c r="BO22" i="93"/>
  <c r="BO17" i="86"/>
  <c r="BO41" i="91"/>
  <c r="BO36" i="90"/>
  <c r="BO21" i="87"/>
  <c r="BO15" i="90"/>
  <c r="BO39" i="88"/>
  <c r="BO35" i="87"/>
  <c r="BO31" i="86"/>
  <c r="K24" i="83"/>
  <c r="BO24" i="83"/>
  <c r="BO39" i="89"/>
  <c r="K29" i="84"/>
  <c r="BO29" i="84"/>
  <c r="BO26" i="85"/>
  <c r="BO18" i="89"/>
  <c r="K15" i="84"/>
  <c r="BO15" i="84"/>
  <c r="AK45" i="90"/>
  <c r="AK45" i="83"/>
  <c r="AK45" i="92"/>
  <c r="AK45" i="85"/>
  <c r="AK44" i="88"/>
  <c r="K24" i="93"/>
  <c r="BO40" i="89"/>
  <c r="BO30" i="93"/>
  <c r="K30" i="93"/>
  <c r="BO45" i="93"/>
  <c r="K45" i="93"/>
  <c r="BO41" i="89"/>
  <c r="BO16" i="87"/>
  <c r="K38" i="93"/>
  <c r="BO38" i="93"/>
  <c r="BO32" i="84"/>
  <c r="K32" i="84"/>
  <c r="BO17" i="87"/>
  <c r="AL46" i="84"/>
  <c r="AL46" i="86"/>
  <c r="AK46" i="86"/>
  <c r="AK46" i="84"/>
  <c r="BO21" i="91"/>
  <c r="AK46" i="91"/>
  <c r="AL46" i="87"/>
  <c r="BO16" i="93"/>
  <c r="AK46" i="93"/>
  <c r="BO17" i="93"/>
  <c r="AL46" i="93"/>
  <c r="AL46" i="89"/>
  <c r="BO23" i="87"/>
  <c r="AK46" i="87"/>
  <c r="BO15" i="91"/>
  <c r="AL46" i="91"/>
  <c r="AK46" i="89"/>
  <c r="K16" i="93"/>
  <c r="V22" i="91"/>
  <c r="V46" i="91" s="1"/>
  <c r="K17" i="93"/>
  <c r="BO39" i="84"/>
  <c r="BO45" i="87"/>
  <c r="BO38" i="87"/>
  <c r="K18" i="84"/>
  <c r="BO18" i="84"/>
  <c r="K25" i="84"/>
  <c r="K39" i="84"/>
  <c r="L45" i="92"/>
  <c r="BO30" i="87"/>
  <c r="BO19" i="89"/>
  <c r="BO45" i="84"/>
  <c r="BN45" i="84"/>
  <c r="K45" i="84" s="1"/>
  <c r="BO19" i="86"/>
  <c r="BO17" i="84"/>
  <c r="K17" i="84"/>
  <c r="K38" i="84"/>
  <c r="BO38" i="84"/>
  <c r="DE45" i="90"/>
  <c r="L45" i="90"/>
  <c r="BO41" i="88"/>
  <c r="BO33" i="89"/>
  <c r="BO26" i="83"/>
  <c r="K26" i="83"/>
  <c r="BO35" i="88"/>
  <c r="BO31" i="93"/>
  <c r="K31" i="93"/>
  <c r="BO21" i="88"/>
  <c r="K15" i="83"/>
  <c r="BO40" i="83"/>
  <c r="K40" i="83"/>
  <c r="BO35" i="85"/>
  <c r="BO28" i="85"/>
  <c r="BO16" i="90"/>
  <c r="BO34" i="83"/>
  <c r="K34" i="83"/>
  <c r="BO28" i="88"/>
  <c r="BO22" i="85"/>
  <c r="V22" i="85"/>
  <c r="V45" i="85" s="1"/>
  <c r="K20" i="84"/>
  <c r="BO42" i="85"/>
  <c r="BO33" i="86"/>
  <c r="BO26" i="86"/>
  <c r="BO42" i="88"/>
  <c r="BO36" i="85"/>
  <c r="BO27" i="89"/>
  <c r="BO20" i="89"/>
  <c r="K26" i="93"/>
  <c r="BO40" i="86"/>
  <c r="BO31" i="84"/>
  <c r="K31" i="84"/>
  <c r="K41" i="83"/>
  <c r="BO41" i="83"/>
  <c r="BO34" i="89"/>
  <c r="BO27" i="83"/>
  <c r="K27" i="83"/>
  <c r="K20" i="83"/>
  <c r="BO20" i="83"/>
  <c r="BO23" i="90"/>
  <c r="BO43" i="85"/>
  <c r="BO34" i="86"/>
  <c r="BO29" i="85"/>
  <c r="BO20" i="86"/>
  <c r="BO37" i="90"/>
  <c r="BO30" i="90"/>
  <c r="BO20" i="88"/>
  <c r="BO41" i="86"/>
  <c r="BO27" i="86"/>
  <c r="BO34" i="88"/>
  <c r="BO27" i="88"/>
  <c r="BO21" i="85"/>
  <c r="BO31" i="87"/>
  <c r="BO17" i="90"/>
  <c r="BO44" i="90"/>
  <c r="BO33" i="83"/>
  <c r="K33" i="83"/>
  <c r="BO26" i="89"/>
  <c r="BO19" i="83"/>
  <c r="K19" i="83"/>
  <c r="BO38" i="90"/>
  <c r="BO31" i="90"/>
  <c r="BO24" i="90"/>
  <c r="BO15" i="85"/>
  <c r="A5" i="46"/>
  <c r="BN46" i="86" l="1"/>
  <c r="BN44" i="88"/>
  <c r="BN45" i="85"/>
  <c r="BN46" i="89"/>
  <c r="K25" i="89"/>
  <c r="K46" i="89" s="1"/>
  <c r="BN45" i="90"/>
  <c r="K22" i="90"/>
  <c r="K45" i="90" s="1"/>
  <c r="BN45" i="92"/>
  <c r="K17" i="92"/>
  <c r="K45" i="92" s="1"/>
  <c r="BN46" i="87"/>
  <c r="BN46" i="91"/>
  <c r="BN46" i="84"/>
  <c r="K46" i="91"/>
  <c r="BN46" i="93"/>
  <c r="K46" i="93"/>
  <c r="I53" i="93" s="1"/>
  <c r="I54" i="93" s="1"/>
  <c r="K44" i="88"/>
  <c r="I51" i="88" s="1"/>
  <c r="I52" i="88" s="1"/>
  <c r="BN45" i="83"/>
  <c r="K46" i="84"/>
  <c r="K45" i="83"/>
  <c r="K46" i="86"/>
  <c r="K45" i="85"/>
  <c r="K46" i="87"/>
  <c r="B5" i="46"/>
  <c r="I52" i="85" l="1"/>
  <c r="I53" i="85" s="1"/>
  <c r="I53" i="84"/>
  <c r="I54" i="84" s="1"/>
  <c r="I53" i="87"/>
  <c r="I52" i="83"/>
  <c r="I53" i="86"/>
  <c r="I54" i="86" s="1"/>
  <c r="I52" i="92"/>
  <c r="I53" i="92" s="1"/>
  <c r="I53" i="91"/>
  <c r="I54" i="91" s="1"/>
  <c r="I52" i="90"/>
  <c r="I53" i="90" s="1"/>
  <c r="I53" i="89"/>
  <c r="I54" i="89" s="1"/>
  <c r="D16" i="50"/>
  <c r="D47" i="50" s="1"/>
  <c r="D21" i="50"/>
  <c r="D58" i="50" s="1"/>
  <c r="A6" i="46"/>
  <c r="I54" i="87" l="1"/>
  <c r="D15" i="50" s="1"/>
  <c r="D40" i="50" s="1"/>
  <c r="I53" i="83"/>
  <c r="D11" i="50" s="1"/>
  <c r="D30" i="50" s="1"/>
  <c r="D12" i="50"/>
  <c r="D31" i="50" s="1"/>
  <c r="D13" i="50"/>
  <c r="D38" i="50" s="1"/>
  <c r="D14" i="50"/>
  <c r="D39" i="50" s="1"/>
  <c r="D20" i="50"/>
  <c r="D57" i="50" s="1"/>
  <c r="D19" i="50"/>
  <c r="D56" i="50" s="1"/>
  <c r="D17" i="50"/>
  <c r="D48" i="50" s="1"/>
  <c r="D18" i="50"/>
  <c r="D49" i="50" s="1"/>
  <c r="B6" i="46"/>
  <c r="D41" i="50" l="1"/>
  <c r="D59" i="50"/>
  <c r="D50" i="50"/>
  <c r="A7" i="46"/>
  <c r="B7" i="46" l="1"/>
  <c r="A8" i="46" l="1"/>
  <c r="B8" i="46" l="1"/>
  <c r="A9" i="46" l="1"/>
  <c r="B9" i="46" l="1"/>
  <c r="A10" i="46" l="1"/>
  <c r="B10" i="46" l="1"/>
  <c r="A11" i="46" l="1"/>
  <c r="B11" i="46" l="1"/>
  <c r="A12" i="46" l="1"/>
  <c r="B12" i="46" l="1"/>
  <c r="A13" i="46" l="1"/>
  <c r="B13" i="46" l="1"/>
  <c r="A14" i="46" l="1"/>
  <c r="B14" i="46" l="1"/>
  <c r="A15" i="46" l="1"/>
  <c r="B15" i="46" l="1"/>
  <c r="A16" i="46" l="1"/>
  <c r="B16" i="46" l="1"/>
  <c r="A1" i="41" l="1"/>
  <c r="AW87" i="41"/>
  <c r="AW88" i="41"/>
  <c r="AW89" i="41"/>
  <c r="AW90" i="41"/>
  <c r="A20" i="41"/>
  <c r="BG90" i="41" l="1"/>
  <c r="CN90" i="41" s="1"/>
  <c r="CX90" i="41" s="1"/>
  <c r="BG88" i="41"/>
  <c r="CN88" i="41" s="1"/>
  <c r="CX88" i="41" s="1"/>
  <c r="BG87" i="41"/>
  <c r="CN87" i="41" s="1"/>
  <c r="CX87" i="41" s="1"/>
  <c r="BG89" i="41"/>
  <c r="CN89" i="41" s="1"/>
  <c r="CX89" i="41" s="1"/>
  <c r="A3" i="23"/>
  <c r="A3" i="24"/>
  <c r="B20" i="41"/>
  <c r="A21" i="41"/>
  <c r="A4" i="24" s="1"/>
  <c r="DA20" i="41" l="1"/>
  <c r="CS20" i="41"/>
  <c r="CK20" i="41"/>
  <c r="CC20" i="41"/>
  <c r="CZ20" i="41"/>
  <c r="CR20" i="41"/>
  <c r="CJ20" i="41"/>
  <c r="CB20" i="41"/>
  <c r="CY20" i="41"/>
  <c r="CQ20" i="41"/>
  <c r="CI20" i="41"/>
  <c r="CA20" i="41"/>
  <c r="CX20" i="41"/>
  <c r="CP20" i="41"/>
  <c r="CH20" i="41"/>
  <c r="CW20" i="41"/>
  <c r="CO20" i="41"/>
  <c r="CG20" i="41"/>
  <c r="DD20" i="41"/>
  <c r="CV20" i="41"/>
  <c r="CN20" i="41"/>
  <c r="CF20" i="41"/>
  <c r="CL20" i="41"/>
  <c r="CE20" i="41"/>
  <c r="CD20" i="41"/>
  <c r="DC20" i="41"/>
  <c r="DB20" i="41"/>
  <c r="CU20" i="41"/>
  <c r="CT20" i="41"/>
  <c r="CM20" i="41"/>
  <c r="BG20" i="41"/>
  <c r="AY20" i="41"/>
  <c r="AQ20" i="41"/>
  <c r="BH20" i="41"/>
  <c r="AX20" i="41"/>
  <c r="AO20" i="41"/>
  <c r="BF20" i="41"/>
  <c r="AW20" i="41"/>
  <c r="AN20" i="41"/>
  <c r="BE20" i="41"/>
  <c r="AV20" i="41"/>
  <c r="AM20" i="41"/>
  <c r="BM20" i="41"/>
  <c r="BD20" i="41"/>
  <c r="AU20" i="41"/>
  <c r="AL20" i="41"/>
  <c r="BL20" i="41"/>
  <c r="BC20" i="41"/>
  <c r="AT20" i="41"/>
  <c r="AK20" i="41"/>
  <c r="AZ20" i="41"/>
  <c r="AS20" i="41"/>
  <c r="AR20" i="41"/>
  <c r="BK20" i="41"/>
  <c r="AP20" i="41"/>
  <c r="BJ20" i="41"/>
  <c r="AJ20" i="41"/>
  <c r="BI20" i="41"/>
  <c r="BB20" i="41"/>
  <c r="BA20" i="41"/>
  <c r="B3" i="24"/>
  <c r="B21" i="41"/>
  <c r="A4" i="23"/>
  <c r="B3" i="23"/>
  <c r="A22" i="41"/>
  <c r="A23" i="41" s="1"/>
  <c r="D20" i="41"/>
  <c r="DC21" i="41" l="1"/>
  <c r="CU21" i="41"/>
  <c r="CM21" i="41"/>
  <c r="CE21" i="41"/>
  <c r="DB21" i="41"/>
  <c r="CT21" i="41"/>
  <c r="CL21" i="41"/>
  <c r="CD21" i="41"/>
  <c r="DA21" i="41"/>
  <c r="CS21" i="41"/>
  <c r="CK21" i="41"/>
  <c r="CC21" i="41"/>
  <c r="CZ21" i="41"/>
  <c r="CR21" i="41"/>
  <c r="CJ21" i="41"/>
  <c r="CB21" i="41"/>
  <c r="CY21" i="41"/>
  <c r="CQ21" i="41"/>
  <c r="CI21" i="41"/>
  <c r="CA21" i="41"/>
  <c r="CX21" i="41"/>
  <c r="CP21" i="41"/>
  <c r="CH21" i="41"/>
  <c r="CN21" i="41"/>
  <c r="CG21" i="41"/>
  <c r="CF21" i="41"/>
  <c r="DD21" i="41"/>
  <c r="CW21" i="41"/>
  <c r="CV21" i="41"/>
  <c r="CO21" i="41"/>
  <c r="BJ21" i="41"/>
  <c r="BB21" i="41"/>
  <c r="AT21" i="41"/>
  <c r="AL21" i="41"/>
  <c r="BI21" i="41"/>
  <c r="BA21" i="41"/>
  <c r="AS21" i="41"/>
  <c r="AK21" i="41"/>
  <c r="BH21" i="41"/>
  <c r="AX21" i="41"/>
  <c r="AN21" i="41"/>
  <c r="BG21" i="41"/>
  <c r="AW21" i="41"/>
  <c r="AM21" i="41"/>
  <c r="BF21" i="41"/>
  <c r="AV21" i="41"/>
  <c r="AJ21" i="41"/>
  <c r="BE21" i="41"/>
  <c r="AU21" i="41"/>
  <c r="BD21" i="41"/>
  <c r="AR21" i="41"/>
  <c r="AQ21" i="41"/>
  <c r="AP21" i="41"/>
  <c r="BM21" i="41"/>
  <c r="AO21" i="41"/>
  <c r="BL21" i="41"/>
  <c r="BK21" i="41"/>
  <c r="BC21" i="41"/>
  <c r="AZ21" i="41"/>
  <c r="AY21" i="41"/>
  <c r="B23" i="41"/>
  <c r="A24" i="41"/>
  <c r="DE20" i="41"/>
  <c r="BN20" i="41"/>
  <c r="K20" i="41" s="1"/>
  <c r="A5" i="23"/>
  <c r="A5" i="24"/>
  <c r="B4" i="24"/>
  <c r="D3" i="23"/>
  <c r="E3" i="24" s="1"/>
  <c r="D21" i="41"/>
  <c r="B4" i="23"/>
  <c r="B22" i="41"/>
  <c r="BO20" i="41"/>
  <c r="DA22" i="41" l="1"/>
  <c r="CS22" i="41"/>
  <c r="CX22" i="41"/>
  <c r="CO22" i="41"/>
  <c r="CG22" i="41"/>
  <c r="CW22" i="41"/>
  <c r="CN22" i="41"/>
  <c r="CF22" i="41"/>
  <c r="CV22" i="41"/>
  <c r="CM22" i="41"/>
  <c r="CE22" i="41"/>
  <c r="DD22" i="41"/>
  <c r="CU22" i="41"/>
  <c r="CL22" i="41"/>
  <c r="CD22" i="41"/>
  <c r="DC22" i="41"/>
  <c r="CT22" i="41"/>
  <c r="CK22" i="41"/>
  <c r="CC22" i="41"/>
  <c r="DB22" i="41"/>
  <c r="CR22" i="41"/>
  <c r="CJ22" i="41"/>
  <c r="CB22" i="41"/>
  <c r="CP22" i="41"/>
  <c r="CI22" i="41"/>
  <c r="CH22" i="41"/>
  <c r="CA22" i="41"/>
  <c r="CZ22" i="41"/>
  <c r="CY22" i="41"/>
  <c r="CQ22" i="41"/>
  <c r="BL22" i="41"/>
  <c r="BD22" i="41"/>
  <c r="AV22" i="41"/>
  <c r="AN22" i="41"/>
  <c r="BK22" i="41"/>
  <c r="BC22" i="41"/>
  <c r="AU22" i="41"/>
  <c r="AM22" i="41"/>
  <c r="BJ22" i="41"/>
  <c r="BB22" i="41"/>
  <c r="AT22" i="41"/>
  <c r="BA22" i="41"/>
  <c r="AP22" i="41"/>
  <c r="AZ22" i="41"/>
  <c r="AO22" i="41"/>
  <c r="BM22" i="41"/>
  <c r="AY22" i="41"/>
  <c r="AL22" i="41"/>
  <c r="BI22" i="41"/>
  <c r="AX22" i="41"/>
  <c r="AK22" i="41"/>
  <c r="BH22" i="41"/>
  <c r="AW22" i="41"/>
  <c r="AJ22" i="41"/>
  <c r="AR22" i="41"/>
  <c r="AQ22" i="41"/>
  <c r="BG22" i="41"/>
  <c r="BF22" i="41"/>
  <c r="BE22" i="41"/>
  <c r="AS22" i="41"/>
  <c r="D23" i="41"/>
  <c r="DC23" i="41"/>
  <c r="CU23" i="41"/>
  <c r="CM23" i="41"/>
  <c r="CE23" i="41"/>
  <c r="CV23" i="41"/>
  <c r="CL23" i="41"/>
  <c r="CC23" i="41"/>
  <c r="DD23" i="41"/>
  <c r="CT23" i="41"/>
  <c r="CK23" i="41"/>
  <c r="CB23" i="41"/>
  <c r="DB23" i="41"/>
  <c r="CS23" i="41"/>
  <c r="CJ23" i="41"/>
  <c r="CA23" i="41"/>
  <c r="DA23" i="41"/>
  <c r="CR23" i="41"/>
  <c r="CI23" i="41"/>
  <c r="CZ23" i="41"/>
  <c r="CQ23" i="41"/>
  <c r="CH23" i="41"/>
  <c r="CY23" i="41"/>
  <c r="CP23" i="41"/>
  <c r="CG23" i="41"/>
  <c r="CW23" i="41"/>
  <c r="CO23" i="41"/>
  <c r="CN23" i="41"/>
  <c r="CF23" i="41"/>
  <c r="CD23" i="41"/>
  <c r="CX23" i="41"/>
  <c r="BF23" i="41"/>
  <c r="AX23" i="41"/>
  <c r="AP23" i="41"/>
  <c r="BM23" i="41"/>
  <c r="BE23" i="41"/>
  <c r="AW23" i="41"/>
  <c r="AO23" i="41"/>
  <c r="BL23" i="41"/>
  <c r="BD23" i="41"/>
  <c r="AV23" i="41"/>
  <c r="AN23" i="41"/>
  <c r="BJ23" i="41"/>
  <c r="AY23" i="41"/>
  <c r="AK23" i="41"/>
  <c r="BI23" i="41"/>
  <c r="AU23" i="41"/>
  <c r="AJ23" i="41"/>
  <c r="BH23" i="41"/>
  <c r="AT23" i="41"/>
  <c r="BG23" i="41"/>
  <c r="AS23" i="41"/>
  <c r="BC23" i="41"/>
  <c r="AR23" i="41"/>
  <c r="AZ23" i="41"/>
  <c r="AQ23" i="41"/>
  <c r="AM23" i="41"/>
  <c r="AL23" i="41"/>
  <c r="BK23" i="41"/>
  <c r="BB23" i="41"/>
  <c r="BA23" i="41"/>
  <c r="A25" i="41"/>
  <c r="B25" i="41" s="1"/>
  <c r="B24" i="41"/>
  <c r="DE21" i="41"/>
  <c r="L21" i="41" s="1"/>
  <c r="BN21" i="41"/>
  <c r="K21" i="41" s="1"/>
  <c r="A6" i="23"/>
  <c r="A6" i="24"/>
  <c r="B5" i="24"/>
  <c r="L20" i="41"/>
  <c r="D4" i="23"/>
  <c r="E4" i="24" s="1"/>
  <c r="BO21" i="41"/>
  <c r="B5" i="23"/>
  <c r="D22" i="41"/>
  <c r="D25" i="41" l="1"/>
  <c r="CY25" i="41"/>
  <c r="CQ25" i="41"/>
  <c r="CI25" i="41"/>
  <c r="CA25" i="41"/>
  <c r="CZ25" i="41"/>
  <c r="CP25" i="41"/>
  <c r="CG25" i="41"/>
  <c r="CX25" i="41"/>
  <c r="CO25" i="41"/>
  <c r="CF25" i="41"/>
  <c r="CW25" i="41"/>
  <c r="CN25" i="41"/>
  <c r="CE25" i="41"/>
  <c r="CV25" i="41"/>
  <c r="CM25" i="41"/>
  <c r="CD25" i="41"/>
  <c r="DD25" i="41"/>
  <c r="CU25" i="41"/>
  <c r="CL25" i="41"/>
  <c r="CC25" i="41"/>
  <c r="DC25" i="41"/>
  <c r="CT25" i="41"/>
  <c r="CK25" i="41"/>
  <c r="CB25" i="41"/>
  <c r="DB25" i="41"/>
  <c r="DA25" i="41"/>
  <c r="CS25" i="41"/>
  <c r="CR25" i="41"/>
  <c r="CJ25" i="41"/>
  <c r="CH25" i="41"/>
  <c r="BJ25" i="41"/>
  <c r="BB25" i="41"/>
  <c r="AT25" i="41"/>
  <c r="AL25" i="41"/>
  <c r="BI25" i="41"/>
  <c r="BA25" i="41"/>
  <c r="AS25" i="41"/>
  <c r="AK25" i="41"/>
  <c r="BH25" i="41"/>
  <c r="AZ25" i="41"/>
  <c r="AR25" i="41"/>
  <c r="AJ25" i="41"/>
  <c r="BC25" i="41"/>
  <c r="AO25" i="41"/>
  <c r="BM25" i="41"/>
  <c r="AY25" i="41"/>
  <c r="AN25" i="41"/>
  <c r="BL25" i="41"/>
  <c r="AX25" i="41"/>
  <c r="AM25" i="41"/>
  <c r="BK25" i="41"/>
  <c r="AW25" i="41"/>
  <c r="BG25" i="41"/>
  <c r="AV25" i="41"/>
  <c r="BE25" i="41"/>
  <c r="BD25" i="41"/>
  <c r="AU25" i="41"/>
  <c r="AQ25" i="41"/>
  <c r="AP25" i="41"/>
  <c r="BF25" i="41"/>
  <c r="D24" i="41"/>
  <c r="CW24" i="41"/>
  <c r="CO24" i="41"/>
  <c r="CG24" i="41"/>
  <c r="DB24" i="41"/>
  <c r="CS24" i="41"/>
  <c r="CJ24" i="41"/>
  <c r="CA24" i="41"/>
  <c r="DA24" i="41"/>
  <c r="CR24" i="41"/>
  <c r="CI24" i="41"/>
  <c r="CZ24" i="41"/>
  <c r="CQ24" i="41"/>
  <c r="CH24" i="41"/>
  <c r="CY24" i="41"/>
  <c r="CP24" i="41"/>
  <c r="CF24" i="41"/>
  <c r="CX24" i="41"/>
  <c r="CN24" i="41"/>
  <c r="CE24" i="41"/>
  <c r="CV24" i="41"/>
  <c r="CM24" i="41"/>
  <c r="CD24" i="41"/>
  <c r="DC24" i="41"/>
  <c r="CU24" i="41"/>
  <c r="CT24" i="41"/>
  <c r="CL24" i="41"/>
  <c r="CK24" i="41"/>
  <c r="CC24" i="41"/>
  <c r="CB24" i="41"/>
  <c r="DD24" i="41"/>
  <c r="BH24" i="41"/>
  <c r="AZ24" i="41"/>
  <c r="AR24" i="41"/>
  <c r="AJ24" i="41"/>
  <c r="BG24" i="41"/>
  <c r="AY24" i="41"/>
  <c r="AQ24" i="41"/>
  <c r="BF24" i="41"/>
  <c r="AX24" i="41"/>
  <c r="AP24" i="41"/>
  <c r="BE24" i="41"/>
  <c r="AT24" i="41"/>
  <c r="BD24" i="41"/>
  <c r="AS24" i="41"/>
  <c r="BC24" i="41"/>
  <c r="AO24" i="41"/>
  <c r="BM24" i="41"/>
  <c r="BB24" i="41"/>
  <c r="AN24" i="41"/>
  <c r="BL24" i="41"/>
  <c r="BA24" i="41"/>
  <c r="AM24" i="41"/>
  <c r="AW24" i="41"/>
  <c r="AV24" i="41"/>
  <c r="AU24" i="41"/>
  <c r="AL24" i="41"/>
  <c r="AK24" i="41"/>
  <c r="BK24" i="41"/>
  <c r="BJ24" i="41"/>
  <c r="BI24" i="41"/>
  <c r="DE22" i="41"/>
  <c r="BN22" i="41"/>
  <c r="K22" i="41" s="1"/>
  <c r="V22" i="41" s="1"/>
  <c r="W20" i="41"/>
  <c r="A7" i="23"/>
  <c r="A7" i="24"/>
  <c r="B6" i="24"/>
  <c r="D5" i="23"/>
  <c r="E5" i="24" s="1"/>
  <c r="B6" i="23"/>
  <c r="V20" i="41"/>
  <c r="BO22" i="41"/>
  <c r="DE23" i="41" l="1"/>
  <c r="L23" i="41" s="1"/>
  <c r="BN23" i="41"/>
  <c r="A8" i="23"/>
  <c r="A8" i="24"/>
  <c r="B7" i="24"/>
  <c r="D6" i="23"/>
  <c r="E6" i="24" s="1"/>
  <c r="L22" i="41"/>
  <c r="B7" i="23"/>
  <c r="A26" i="41"/>
  <c r="BO23" i="41"/>
  <c r="DE24" i="41" l="1"/>
  <c r="L24" i="41" s="1"/>
  <c r="BN24" i="41"/>
  <c r="K24" i="41" s="1"/>
  <c r="A9" i="23"/>
  <c r="A9" i="24"/>
  <c r="B8" i="24"/>
  <c r="D7" i="23"/>
  <c r="E7" i="24" s="1"/>
  <c r="B8" i="23"/>
  <c r="K23" i="41"/>
  <c r="BO24" i="41"/>
  <c r="B26" i="41"/>
  <c r="A27" i="41"/>
  <c r="DA26" i="41" l="1"/>
  <c r="CS26" i="41"/>
  <c r="CK26" i="41"/>
  <c r="CC26" i="41"/>
  <c r="DB26" i="41"/>
  <c r="CR26" i="41"/>
  <c r="CZ26" i="41"/>
  <c r="CQ26" i="41"/>
  <c r="CY26" i="41"/>
  <c r="CN26" i="41"/>
  <c r="CE26" i="41"/>
  <c r="CX26" i="41"/>
  <c r="CM26" i="41"/>
  <c r="CD26" i="41"/>
  <c r="CW26" i="41"/>
  <c r="CL26" i="41"/>
  <c r="CB26" i="41"/>
  <c r="CV26" i="41"/>
  <c r="CJ26" i="41"/>
  <c r="CA26" i="41"/>
  <c r="CU26" i="41"/>
  <c r="CI26" i="41"/>
  <c r="CT26" i="41"/>
  <c r="CH26" i="41"/>
  <c r="CF26" i="41"/>
  <c r="DD26" i="41"/>
  <c r="DC26" i="41"/>
  <c r="CP26" i="41"/>
  <c r="CO26" i="41"/>
  <c r="CG26" i="41"/>
  <c r="BL26" i="41"/>
  <c r="BD26" i="41"/>
  <c r="AV26" i="41"/>
  <c r="AN26" i="41"/>
  <c r="BK26" i="41"/>
  <c r="BC26" i="41"/>
  <c r="AU26" i="41"/>
  <c r="AM26" i="41"/>
  <c r="BJ26" i="41"/>
  <c r="BB26" i="41"/>
  <c r="AT26" i="41"/>
  <c r="AL26" i="41"/>
  <c r="BI26" i="41"/>
  <c r="AX26" i="41"/>
  <c r="AJ26" i="41"/>
  <c r="BH26" i="41"/>
  <c r="AW26" i="41"/>
  <c r="BG26" i="41"/>
  <c r="AS26" i="41"/>
  <c r="BF26" i="41"/>
  <c r="AR26" i="41"/>
  <c r="BE26" i="41"/>
  <c r="AQ26" i="41"/>
  <c r="BM26" i="41"/>
  <c r="BA26" i="41"/>
  <c r="AZ26" i="41"/>
  <c r="AY26" i="41"/>
  <c r="AP26" i="41"/>
  <c r="AO26" i="41"/>
  <c r="AK26" i="41"/>
  <c r="DE25" i="41"/>
  <c r="L25" i="41" s="1"/>
  <c r="BN25" i="41"/>
  <c r="K25" i="41" s="1"/>
  <c r="A10" i="23"/>
  <c r="A10" i="24"/>
  <c r="B9" i="24"/>
  <c r="D8" i="23"/>
  <c r="E8" i="24" s="1"/>
  <c r="B9" i="23"/>
  <c r="A28" i="41"/>
  <c r="B27" i="41"/>
  <c r="D26" i="41"/>
  <c r="BO25" i="41"/>
  <c r="DC27" i="41" l="1"/>
  <c r="CU27" i="41"/>
  <c r="CM27" i="41"/>
  <c r="CE27" i="41"/>
  <c r="CY27" i="41"/>
  <c r="CP27" i="41"/>
  <c r="CG27" i="41"/>
  <c r="CX27" i="41"/>
  <c r="CO27" i="41"/>
  <c r="CF27" i="41"/>
  <c r="CT27" i="41"/>
  <c r="CI27" i="41"/>
  <c r="CS27" i="41"/>
  <c r="CH27" i="41"/>
  <c r="DD27" i="41"/>
  <c r="CR27" i="41"/>
  <c r="CD27" i="41"/>
  <c r="DB27" i="41"/>
  <c r="CQ27" i="41"/>
  <c r="CC27" i="41"/>
  <c r="DA27" i="41"/>
  <c r="CN27" i="41"/>
  <c r="CB27" i="41"/>
  <c r="CZ27" i="41"/>
  <c r="CL27" i="41"/>
  <c r="CA27" i="41"/>
  <c r="CV27" i="41"/>
  <c r="CK27" i="41"/>
  <c r="CJ27" i="41"/>
  <c r="CW27" i="41"/>
  <c r="BF27" i="41"/>
  <c r="AX27" i="41"/>
  <c r="AP27" i="41"/>
  <c r="BM27" i="41"/>
  <c r="BE27" i="41"/>
  <c r="AW27" i="41"/>
  <c r="AO27" i="41"/>
  <c r="BL27" i="41"/>
  <c r="BD27" i="41"/>
  <c r="AV27" i="41"/>
  <c r="AN27" i="41"/>
  <c r="BG27" i="41"/>
  <c r="AS27" i="41"/>
  <c r="BC27" i="41"/>
  <c r="AR27" i="41"/>
  <c r="BB27" i="41"/>
  <c r="AQ27" i="41"/>
  <c r="BA27" i="41"/>
  <c r="AM27" i="41"/>
  <c r="BK27" i="41"/>
  <c r="AZ27" i="41"/>
  <c r="AL27" i="41"/>
  <c r="BJ27" i="41"/>
  <c r="BI27" i="41"/>
  <c r="BH27" i="41"/>
  <c r="AY27" i="41"/>
  <c r="AU27" i="41"/>
  <c r="AT27" i="41"/>
  <c r="AK27" i="41"/>
  <c r="AJ27" i="41"/>
  <c r="DE26" i="41"/>
  <c r="L26" i="41" s="1"/>
  <c r="BN26" i="41"/>
  <c r="K26" i="41" s="1"/>
  <c r="W25" i="41"/>
  <c r="A11" i="23"/>
  <c r="A11" i="24"/>
  <c r="B10" i="24"/>
  <c r="D9" i="23"/>
  <c r="E9" i="24" s="1"/>
  <c r="B10" i="23"/>
  <c r="D27" i="41"/>
  <c r="A29" i="41"/>
  <c r="B28" i="41"/>
  <c r="BO26" i="41"/>
  <c r="CW28" i="41" l="1"/>
  <c r="CO28" i="41"/>
  <c r="CG28" i="41"/>
  <c r="CV28" i="41"/>
  <c r="CM28" i="41"/>
  <c r="CD28" i="41"/>
  <c r="DD28" i="41"/>
  <c r="CU28" i="41"/>
  <c r="CL28" i="41"/>
  <c r="CC28" i="41"/>
  <c r="DA28" i="41"/>
  <c r="CP28" i="41"/>
  <c r="CB28" i="41"/>
  <c r="CZ28" i="41"/>
  <c r="CN28" i="41"/>
  <c r="CA28" i="41"/>
  <c r="CY28" i="41"/>
  <c r="CK28" i="41"/>
  <c r="CX28" i="41"/>
  <c r="CJ28" i="41"/>
  <c r="CT28" i="41"/>
  <c r="CI28" i="41"/>
  <c r="CS28" i="41"/>
  <c r="CH28" i="41"/>
  <c r="DC28" i="41"/>
  <c r="DB28" i="41"/>
  <c r="CR28" i="41"/>
  <c r="CQ28" i="41"/>
  <c r="CF28" i="41"/>
  <c r="CE28" i="41"/>
  <c r="BH28" i="41"/>
  <c r="AZ28" i="41"/>
  <c r="AR28" i="41"/>
  <c r="AJ28" i="41"/>
  <c r="BG28" i="41"/>
  <c r="AY28" i="41"/>
  <c r="AQ28" i="41"/>
  <c r="BF28" i="41"/>
  <c r="AX28" i="41"/>
  <c r="AP28" i="41"/>
  <c r="BM28" i="41"/>
  <c r="BE28" i="41"/>
  <c r="BB28" i="41"/>
  <c r="AN28" i="41"/>
  <c r="BA28" i="41"/>
  <c r="AM28" i="41"/>
  <c r="BL28" i="41"/>
  <c r="AW28" i="41"/>
  <c r="AL28" i="41"/>
  <c r="BK28" i="41"/>
  <c r="AV28" i="41"/>
  <c r="AK28" i="41"/>
  <c r="BJ28" i="41"/>
  <c r="AU28" i="41"/>
  <c r="BI28" i="41"/>
  <c r="BD28" i="41"/>
  <c r="BC28" i="41"/>
  <c r="AT28" i="41"/>
  <c r="AS28" i="41"/>
  <c r="AO28" i="41"/>
  <c r="DE27" i="41"/>
  <c r="L27" i="41" s="1"/>
  <c r="BN27" i="41"/>
  <c r="W26" i="41"/>
  <c r="A12" i="23"/>
  <c r="A12" i="24"/>
  <c r="B11" i="24"/>
  <c r="D10" i="23"/>
  <c r="E10" i="24" s="1"/>
  <c r="B11" i="23"/>
  <c r="V26" i="41"/>
  <c r="BO27" i="41"/>
  <c r="D28" i="41"/>
  <c r="B29" i="41"/>
  <c r="A30" i="41"/>
  <c r="CY29" i="41" l="1"/>
  <c r="CQ29" i="41"/>
  <c r="CI29" i="41"/>
  <c r="CA29" i="41"/>
  <c r="DC29" i="41"/>
  <c r="CT29" i="41"/>
  <c r="CK29" i="41"/>
  <c r="CB29" i="41"/>
  <c r="DB29" i="41"/>
  <c r="CS29" i="41"/>
  <c r="CJ29" i="41"/>
  <c r="CV29" i="41"/>
  <c r="CH29" i="41"/>
  <c r="CU29" i="41"/>
  <c r="CG29" i="41"/>
  <c r="CR29" i="41"/>
  <c r="CF29" i="41"/>
  <c r="DD29" i="41"/>
  <c r="CP29" i="41"/>
  <c r="CE29" i="41"/>
  <c r="DA29" i="41"/>
  <c r="CO29" i="41"/>
  <c r="CD29" i="41"/>
  <c r="CZ29" i="41"/>
  <c r="CN29" i="41"/>
  <c r="CC29" i="41"/>
  <c r="CL29" i="41"/>
  <c r="CX29" i="41"/>
  <c r="CW29" i="41"/>
  <c r="CM29" i="41"/>
  <c r="BJ29" i="41"/>
  <c r="BB29" i="41"/>
  <c r="AT29" i="41"/>
  <c r="AL29" i="41"/>
  <c r="BI29" i="41"/>
  <c r="BA29" i="41"/>
  <c r="AS29" i="41"/>
  <c r="AK29" i="41"/>
  <c r="BH29" i="41"/>
  <c r="AZ29" i="41"/>
  <c r="AR29" i="41"/>
  <c r="AJ29" i="41"/>
  <c r="BG29" i="41"/>
  <c r="AY29" i="41"/>
  <c r="AQ29" i="41"/>
  <c r="BD29" i="41"/>
  <c r="AN29" i="41"/>
  <c r="BC29" i="41"/>
  <c r="AM29" i="41"/>
  <c r="AX29" i="41"/>
  <c r="BM29" i="41"/>
  <c r="AW29" i="41"/>
  <c r="BL29" i="41"/>
  <c r="AV29" i="41"/>
  <c r="AP29" i="41"/>
  <c r="AO29" i="41"/>
  <c r="BK29" i="41"/>
  <c r="BF29" i="41"/>
  <c r="BE29" i="41"/>
  <c r="AU29" i="41"/>
  <c r="DE28" i="41"/>
  <c r="L28" i="41" s="1"/>
  <c r="BN28" i="41"/>
  <c r="W27" i="41"/>
  <c r="A13" i="23"/>
  <c r="A13" i="24"/>
  <c r="B12" i="24"/>
  <c r="D11" i="23"/>
  <c r="E11" i="24" s="1"/>
  <c r="B12" i="23"/>
  <c r="K27" i="41"/>
  <c r="V27" i="41" s="1"/>
  <c r="BO28" i="41"/>
  <c r="B30" i="41"/>
  <c r="A31" i="41"/>
  <c r="D29" i="41"/>
  <c r="DB30" i="41" l="1"/>
  <c r="CT30" i="41"/>
  <c r="CL30" i="41"/>
  <c r="CD30" i="41"/>
  <c r="DA30" i="41"/>
  <c r="CR30" i="41"/>
  <c r="CI30" i="41"/>
  <c r="CZ30" i="41"/>
  <c r="CQ30" i="41"/>
  <c r="CH30" i="41"/>
  <c r="CY30" i="41"/>
  <c r="CP30" i="41"/>
  <c r="CX30" i="41"/>
  <c r="CS30" i="41"/>
  <c r="CE30" i="41"/>
  <c r="CO30" i="41"/>
  <c r="CC30" i="41"/>
  <c r="CN30" i="41"/>
  <c r="CB30" i="41"/>
  <c r="DD30" i="41"/>
  <c r="CM30" i="41"/>
  <c r="DC30" i="41"/>
  <c r="CK30" i="41"/>
  <c r="CW30" i="41"/>
  <c r="CJ30" i="41"/>
  <c r="CV30" i="41"/>
  <c r="CU30" i="41"/>
  <c r="CG30" i="41"/>
  <c r="CF30" i="41"/>
  <c r="BM30" i="41"/>
  <c r="BE30" i="41"/>
  <c r="AW30" i="41"/>
  <c r="AO30" i="41"/>
  <c r="BL30" i="41"/>
  <c r="BD30" i="41"/>
  <c r="AV30" i="41"/>
  <c r="AN30" i="41"/>
  <c r="BK30" i="41"/>
  <c r="BC30" i="41"/>
  <c r="AU30" i="41"/>
  <c r="AM30" i="41"/>
  <c r="BJ30" i="41"/>
  <c r="BB30" i="41"/>
  <c r="AT30" i="41"/>
  <c r="AL30" i="41"/>
  <c r="BI30" i="41"/>
  <c r="BA30" i="41"/>
  <c r="AS30" i="41"/>
  <c r="AQ30" i="41"/>
  <c r="BH30" i="41"/>
  <c r="AP30" i="41"/>
  <c r="BG30" i="41"/>
  <c r="AK30" i="41"/>
  <c r="BF30" i="41"/>
  <c r="AZ30" i="41"/>
  <c r="AY30" i="41"/>
  <c r="AX30" i="41"/>
  <c r="AR30" i="41"/>
  <c r="AJ30" i="41"/>
  <c r="CA30" i="41"/>
  <c r="DE29" i="41"/>
  <c r="BN29" i="41"/>
  <c r="A14" i="23"/>
  <c r="A14" i="24"/>
  <c r="B13" i="24"/>
  <c r="D12" i="23"/>
  <c r="E12" i="24" s="1"/>
  <c r="B13" i="23"/>
  <c r="K28" i="41"/>
  <c r="A32" i="41"/>
  <c r="B31" i="41"/>
  <c r="D30" i="41"/>
  <c r="BO29" i="41"/>
  <c r="CW31" i="41" l="1"/>
  <c r="CO31" i="41"/>
  <c r="CG31" i="41"/>
  <c r="CZ31" i="41"/>
  <c r="CQ31" i="41"/>
  <c r="CH31" i="41"/>
  <c r="CY31" i="41"/>
  <c r="CP31" i="41"/>
  <c r="CF31" i="41"/>
  <c r="CX31" i="41"/>
  <c r="CN31" i="41"/>
  <c r="CE31" i="41"/>
  <c r="CV31" i="41"/>
  <c r="CM31" i="41"/>
  <c r="CD31" i="41"/>
  <c r="DA31" i="41"/>
  <c r="CI31" i="41"/>
  <c r="CU31" i="41"/>
  <c r="CC31" i="41"/>
  <c r="CT31" i="41"/>
  <c r="CA31" i="41"/>
  <c r="CS31" i="41"/>
  <c r="CR31" i="41"/>
  <c r="DD31" i="41"/>
  <c r="CL31" i="41"/>
  <c r="CJ31" i="41"/>
  <c r="DC31" i="41"/>
  <c r="DB31" i="41"/>
  <c r="CK31" i="41"/>
  <c r="BH31" i="41"/>
  <c r="AZ31" i="41"/>
  <c r="AR31" i="41"/>
  <c r="BG31" i="41"/>
  <c r="AY31" i="41"/>
  <c r="AQ31" i="41"/>
  <c r="BF31" i="41"/>
  <c r="AX31" i="41"/>
  <c r="AP31" i="41"/>
  <c r="BM31" i="41"/>
  <c r="BE31" i="41"/>
  <c r="AW31" i="41"/>
  <c r="AO31" i="41"/>
  <c r="BL31" i="41"/>
  <c r="BD31" i="41"/>
  <c r="AV31" i="41"/>
  <c r="AN31" i="41"/>
  <c r="BC31" i="41"/>
  <c r="AJ31" i="41"/>
  <c r="BB31" i="41"/>
  <c r="BA31" i="41"/>
  <c r="AU31" i="41"/>
  <c r="AT31" i="41"/>
  <c r="AL31" i="41"/>
  <c r="BK31" i="41"/>
  <c r="BJ31" i="41"/>
  <c r="BI31" i="41"/>
  <c r="AS31" i="41"/>
  <c r="AM31" i="41"/>
  <c r="CB31" i="41"/>
  <c r="AK31" i="41"/>
  <c r="DE30" i="41"/>
  <c r="L30" i="41" s="1"/>
  <c r="BN30" i="41"/>
  <c r="K30" i="41" s="1"/>
  <c r="A15" i="23"/>
  <c r="A15" i="24"/>
  <c r="B14" i="24"/>
  <c r="D13" i="23"/>
  <c r="E13" i="24" s="1"/>
  <c r="B14" i="23"/>
  <c r="V28" i="41"/>
  <c r="K29" i="41"/>
  <c r="L29" i="41"/>
  <c r="BO30" i="41"/>
  <c r="D31" i="41"/>
  <c r="A33" i="41"/>
  <c r="B32" i="41"/>
  <c r="CZ32" i="41" l="1"/>
  <c r="CR32" i="41"/>
  <c r="CJ32" i="41"/>
  <c r="CA32" i="41"/>
  <c r="CX32" i="41"/>
  <c r="CO32" i="41"/>
  <c r="CF32" i="41"/>
  <c r="CW32" i="41"/>
  <c r="CN32" i="41"/>
  <c r="CE32" i="41"/>
  <c r="CV32" i="41"/>
  <c r="CM32" i="41"/>
  <c r="CD32" i="41"/>
  <c r="DD32" i="41"/>
  <c r="CU32" i="41"/>
  <c r="CL32" i="41"/>
  <c r="CB32" i="41"/>
  <c r="CP32" i="41"/>
  <c r="DC32" i="41"/>
  <c r="CK32" i="41"/>
  <c r="DB32" i="41"/>
  <c r="CI32" i="41"/>
  <c r="DA32" i="41"/>
  <c r="CH32" i="41"/>
  <c r="CY32" i="41"/>
  <c r="CG32" i="41"/>
  <c r="CT32" i="41"/>
  <c r="CS32" i="41"/>
  <c r="CQ32" i="41"/>
  <c r="BK32" i="41"/>
  <c r="BC32" i="41"/>
  <c r="AU32" i="41"/>
  <c r="AM32" i="41"/>
  <c r="BJ32" i="41"/>
  <c r="BB32" i="41"/>
  <c r="AT32" i="41"/>
  <c r="AK32" i="41"/>
  <c r="BI32" i="41"/>
  <c r="BA32" i="41"/>
  <c r="AS32" i="41"/>
  <c r="AJ32" i="41"/>
  <c r="BH32" i="41"/>
  <c r="AZ32" i="41"/>
  <c r="AR32" i="41"/>
  <c r="BG32" i="41"/>
  <c r="AY32" i="41"/>
  <c r="AQ32" i="41"/>
  <c r="BF32" i="41"/>
  <c r="AX32" i="41"/>
  <c r="AP32" i="41"/>
  <c r="BM32" i="41"/>
  <c r="BE32" i="41"/>
  <c r="AW32" i="41"/>
  <c r="AO32" i="41"/>
  <c r="BL32" i="41"/>
  <c r="BD32" i="41"/>
  <c r="AV32" i="41"/>
  <c r="AN32" i="41"/>
  <c r="AL32" i="41"/>
  <c r="CC32" i="41"/>
  <c r="DE31" i="41"/>
  <c r="BN31" i="41"/>
  <c r="A16" i="23"/>
  <c r="A16" i="24"/>
  <c r="B15" i="24"/>
  <c r="D14" i="23"/>
  <c r="E14" i="24" s="1"/>
  <c r="B15" i="23"/>
  <c r="D32" i="41"/>
  <c r="BO31" i="41"/>
  <c r="A34" i="41"/>
  <c r="B33" i="41"/>
  <c r="DC33" i="41" l="1"/>
  <c r="CU33" i="41"/>
  <c r="CM33" i="41"/>
  <c r="CE33" i="41"/>
  <c r="CW33" i="41"/>
  <c r="CN33" i="41"/>
  <c r="CC33" i="41"/>
  <c r="CV33" i="41"/>
  <c r="CL33" i="41"/>
  <c r="CB33" i="41"/>
  <c r="DD33" i="41"/>
  <c r="CT33" i="41"/>
  <c r="CK33" i="41"/>
  <c r="CA33" i="41"/>
  <c r="DB33" i="41"/>
  <c r="CS33" i="41"/>
  <c r="CJ33" i="41"/>
  <c r="CX33" i="41"/>
  <c r="CF33" i="41"/>
  <c r="CR33" i="41"/>
  <c r="CQ33" i="41"/>
  <c r="CP33" i="41"/>
  <c r="CO33" i="41"/>
  <c r="DA33" i="41"/>
  <c r="CI33" i="41"/>
  <c r="CY33" i="41"/>
  <c r="CH33" i="41"/>
  <c r="CG33" i="41"/>
  <c r="CZ33" i="41"/>
  <c r="BF33" i="41"/>
  <c r="AX33" i="41"/>
  <c r="AP33" i="41"/>
  <c r="BM33" i="41"/>
  <c r="BE33" i="41"/>
  <c r="AW33" i="41"/>
  <c r="AO33" i="41"/>
  <c r="BL33" i="41"/>
  <c r="BD33" i="41"/>
  <c r="AV33" i="41"/>
  <c r="AN33" i="41"/>
  <c r="BK33" i="41"/>
  <c r="BC33" i="41"/>
  <c r="AU33" i="41"/>
  <c r="AL33" i="41"/>
  <c r="BJ33" i="41"/>
  <c r="BB33" i="41"/>
  <c r="AT33" i="41"/>
  <c r="AK33" i="41"/>
  <c r="BI33" i="41"/>
  <c r="BA33" i="41"/>
  <c r="AS33" i="41"/>
  <c r="AJ33" i="41"/>
  <c r="BH33" i="41"/>
  <c r="AZ33" i="41"/>
  <c r="AR33" i="41"/>
  <c r="AQ33" i="41"/>
  <c r="BG33" i="41"/>
  <c r="AY33" i="41"/>
  <c r="CD33" i="41"/>
  <c r="AM33" i="41"/>
  <c r="DE32" i="41"/>
  <c r="L32" i="41" s="1"/>
  <c r="BN32" i="41"/>
  <c r="K32" i="41" s="1"/>
  <c r="V32" i="41" s="1"/>
  <c r="A17" i="23"/>
  <c r="A17" i="24"/>
  <c r="B16" i="24"/>
  <c r="D15" i="23"/>
  <c r="E15" i="24" s="1"/>
  <c r="B16" i="23"/>
  <c r="K31" i="41"/>
  <c r="L31" i="41"/>
  <c r="A35" i="41"/>
  <c r="B34" i="41"/>
  <c r="BO32" i="41"/>
  <c r="D33" i="41"/>
  <c r="CW34" i="41" l="1"/>
  <c r="CO34" i="41"/>
  <c r="CG34" i="41"/>
  <c r="DC34" i="41"/>
  <c r="CT34" i="41"/>
  <c r="CK34" i="41"/>
  <c r="CB34" i="41"/>
  <c r="DB34" i="41"/>
  <c r="CS34" i="41"/>
  <c r="CJ34" i="41"/>
  <c r="CA34" i="41"/>
  <c r="DA34" i="41"/>
  <c r="CR34" i="41"/>
  <c r="CI34" i="41"/>
  <c r="CZ34" i="41"/>
  <c r="CQ34" i="41"/>
  <c r="CH34" i="41"/>
  <c r="DD34" i="41"/>
  <c r="CL34" i="41"/>
  <c r="CY34" i="41"/>
  <c r="CF34" i="41"/>
  <c r="CX34" i="41"/>
  <c r="CE34" i="41"/>
  <c r="CV34" i="41"/>
  <c r="CD34" i="41"/>
  <c r="CU34" i="41"/>
  <c r="CC34" i="41"/>
  <c r="CP34" i="41"/>
  <c r="CN34" i="41"/>
  <c r="CM34" i="41"/>
  <c r="BH34" i="41"/>
  <c r="AZ34" i="41"/>
  <c r="AR34" i="41"/>
  <c r="AJ34" i="41"/>
  <c r="BG34" i="41"/>
  <c r="AY34" i="41"/>
  <c r="AQ34" i="41"/>
  <c r="BF34" i="41"/>
  <c r="AX34" i="41"/>
  <c r="AP34" i="41"/>
  <c r="BM34" i="41"/>
  <c r="BE34" i="41"/>
  <c r="AW34" i="41"/>
  <c r="AO34" i="41"/>
  <c r="BL34" i="41"/>
  <c r="BD34" i="41"/>
  <c r="AV34" i="41"/>
  <c r="AN34" i="41"/>
  <c r="BK34" i="41"/>
  <c r="BC34" i="41"/>
  <c r="AU34" i="41"/>
  <c r="AM34" i="41"/>
  <c r="BJ34" i="41"/>
  <c r="BB34" i="41"/>
  <c r="AT34" i="41"/>
  <c r="AL34" i="41"/>
  <c r="BI34" i="41"/>
  <c r="BA34" i="41"/>
  <c r="AS34" i="41"/>
  <c r="AK34" i="41"/>
  <c r="DE33" i="41"/>
  <c r="BN33" i="41"/>
  <c r="K33" i="41" s="1"/>
  <c r="V33" i="41" s="1"/>
  <c r="A18" i="23"/>
  <c r="A18" i="24"/>
  <c r="B17" i="24"/>
  <c r="D16" i="23"/>
  <c r="E16" i="24" s="1"/>
  <c r="B17" i="23"/>
  <c r="BO33" i="41"/>
  <c r="D34" i="41"/>
  <c r="B35" i="41"/>
  <c r="A36" i="41"/>
  <c r="CY35" i="41" l="1"/>
  <c r="CQ35" i="41"/>
  <c r="CI35" i="41"/>
  <c r="CA35" i="41"/>
  <c r="DA35" i="41"/>
  <c r="CR35" i="41"/>
  <c r="CH35" i="41"/>
  <c r="CZ35" i="41"/>
  <c r="CP35" i="41"/>
  <c r="CG35" i="41"/>
  <c r="CX35" i="41"/>
  <c r="CO35" i="41"/>
  <c r="CF35" i="41"/>
  <c r="CW35" i="41"/>
  <c r="CN35" i="41"/>
  <c r="CE35" i="41"/>
  <c r="CS35" i="41"/>
  <c r="CM35" i="41"/>
  <c r="DD35" i="41"/>
  <c r="CL35" i="41"/>
  <c r="DC35" i="41"/>
  <c r="CK35" i="41"/>
  <c r="DB35" i="41"/>
  <c r="CJ35" i="41"/>
  <c r="CV35" i="41"/>
  <c r="CD35" i="41"/>
  <c r="CU35" i="41"/>
  <c r="CT35" i="41"/>
  <c r="CC35" i="41"/>
  <c r="CB35" i="41"/>
  <c r="BJ35" i="41"/>
  <c r="BB35" i="41"/>
  <c r="AT35" i="41"/>
  <c r="AL35" i="41"/>
  <c r="BI35" i="41"/>
  <c r="BA35" i="41"/>
  <c r="AS35" i="41"/>
  <c r="AK35" i="41"/>
  <c r="BH35" i="41"/>
  <c r="AZ35" i="41"/>
  <c r="AR35" i="41"/>
  <c r="AJ35" i="41"/>
  <c r="BG35" i="41"/>
  <c r="AY35" i="41"/>
  <c r="AQ35" i="41"/>
  <c r="BF35" i="41"/>
  <c r="AX35" i="41"/>
  <c r="AP35" i="41"/>
  <c r="BM35" i="41"/>
  <c r="BE35" i="41"/>
  <c r="AW35" i="41"/>
  <c r="AO35" i="41"/>
  <c r="BL35" i="41"/>
  <c r="BD35" i="41"/>
  <c r="AV35" i="41"/>
  <c r="AN35" i="41"/>
  <c r="AU35" i="41"/>
  <c r="AM35" i="41"/>
  <c r="BK35" i="41"/>
  <c r="BC35" i="41"/>
  <c r="DE34" i="41"/>
  <c r="L34" i="41" s="1"/>
  <c r="BN34" i="41"/>
  <c r="A19" i="23"/>
  <c r="A19" i="24"/>
  <c r="B18" i="24"/>
  <c r="D17" i="23"/>
  <c r="E17" i="24" s="1"/>
  <c r="B18" i="23"/>
  <c r="L33" i="41"/>
  <c r="BO34" i="41"/>
  <c r="B36" i="41"/>
  <c r="A37" i="41"/>
  <c r="D35" i="41"/>
  <c r="DA36" i="41" l="1"/>
  <c r="CS36" i="41"/>
  <c r="CK36" i="41"/>
  <c r="CC36" i="41"/>
  <c r="CX36" i="41"/>
  <c r="CO36" i="41"/>
  <c r="CF36" i="41"/>
  <c r="CW36" i="41"/>
  <c r="CN36" i="41"/>
  <c r="CE36" i="41"/>
  <c r="CV36" i="41"/>
  <c r="CM36" i="41"/>
  <c r="CD36" i="41"/>
  <c r="DD36" i="41"/>
  <c r="CU36" i="41"/>
  <c r="CL36" i="41"/>
  <c r="CB36" i="41"/>
  <c r="CY36" i="41"/>
  <c r="CG36" i="41"/>
  <c r="CT36" i="41"/>
  <c r="CA36" i="41"/>
  <c r="CR36" i="41"/>
  <c r="CQ36" i="41"/>
  <c r="CP36" i="41"/>
  <c r="DC36" i="41"/>
  <c r="CJ36" i="41"/>
  <c r="CH36" i="41"/>
  <c r="DB36" i="41"/>
  <c r="CZ36" i="41"/>
  <c r="CI36" i="41"/>
  <c r="BL36" i="41"/>
  <c r="BD36" i="41"/>
  <c r="AV36" i="41"/>
  <c r="AN36" i="41"/>
  <c r="BK36" i="41"/>
  <c r="BC36" i="41"/>
  <c r="AU36" i="41"/>
  <c r="AM36" i="41"/>
  <c r="BJ36" i="41"/>
  <c r="BB36" i="41"/>
  <c r="AT36" i="41"/>
  <c r="AL36" i="41"/>
  <c r="BI36" i="41"/>
  <c r="BA36" i="41"/>
  <c r="AS36" i="41"/>
  <c r="AK36" i="41"/>
  <c r="BH36" i="41"/>
  <c r="AZ36" i="41"/>
  <c r="AR36" i="41"/>
  <c r="AJ36" i="41"/>
  <c r="BG36" i="41"/>
  <c r="AY36" i="41"/>
  <c r="AQ36" i="41"/>
  <c r="BF36" i="41"/>
  <c r="AX36" i="41"/>
  <c r="AP36" i="41"/>
  <c r="BM36" i="41"/>
  <c r="BE36" i="41"/>
  <c r="AW36" i="41"/>
  <c r="AO36" i="41"/>
  <c r="DE35" i="41"/>
  <c r="BN35" i="41"/>
  <c r="K35" i="41" s="1"/>
  <c r="A20" i="23"/>
  <c r="A20" i="24"/>
  <c r="B19" i="24"/>
  <c r="D18" i="23"/>
  <c r="E18" i="24" s="1"/>
  <c r="B19" i="23"/>
  <c r="W33" i="41"/>
  <c r="K34" i="41"/>
  <c r="A38" i="41"/>
  <c r="B37" i="41"/>
  <c r="D36" i="41"/>
  <c r="BO35" i="41"/>
  <c r="CX37" i="41" l="1"/>
  <c r="CV37" i="41"/>
  <c r="CN37" i="41"/>
  <c r="CF37" i="41"/>
  <c r="CW37" i="41"/>
  <c r="CM37" i="41"/>
  <c r="CD37" i="41"/>
  <c r="CU37" i="41"/>
  <c r="CL37" i="41"/>
  <c r="CC37" i="41"/>
  <c r="DD37" i="41"/>
  <c r="CT37" i="41"/>
  <c r="CK37" i="41"/>
  <c r="CB37" i="41"/>
  <c r="DC37" i="41"/>
  <c r="CS37" i="41"/>
  <c r="CJ37" i="41"/>
  <c r="DB37" i="41"/>
  <c r="CY37" i="41"/>
  <c r="CO37" i="41"/>
  <c r="CI37" i="41"/>
  <c r="CH37" i="41"/>
  <c r="DA37" i="41"/>
  <c r="CG37" i="41"/>
  <c r="CZ37" i="41"/>
  <c r="CE37" i="41"/>
  <c r="CR37" i="41"/>
  <c r="CQ37" i="41"/>
  <c r="CP37" i="41"/>
  <c r="BG37" i="41"/>
  <c r="AY37" i="41"/>
  <c r="AQ37" i="41"/>
  <c r="BF37" i="41"/>
  <c r="AX37" i="41"/>
  <c r="AP37" i="41"/>
  <c r="BM37" i="41"/>
  <c r="BE37" i="41"/>
  <c r="AW37" i="41"/>
  <c r="AO37" i="41"/>
  <c r="BL37" i="41"/>
  <c r="BD37" i="41"/>
  <c r="AV37" i="41"/>
  <c r="AN37" i="41"/>
  <c r="BK37" i="41"/>
  <c r="BC37" i="41"/>
  <c r="AU37" i="41"/>
  <c r="AM37" i="41"/>
  <c r="BJ37" i="41"/>
  <c r="BB37" i="41"/>
  <c r="AT37" i="41"/>
  <c r="AL37" i="41"/>
  <c r="BI37" i="41"/>
  <c r="BA37" i="41"/>
  <c r="AS37" i="41"/>
  <c r="AK37" i="41"/>
  <c r="AZ37" i="41"/>
  <c r="AR37" i="41"/>
  <c r="BH37" i="41"/>
  <c r="AJ37" i="41"/>
  <c r="CA37" i="41"/>
  <c r="DE36" i="41"/>
  <c r="L36" i="41" s="1"/>
  <c r="BN36" i="41"/>
  <c r="A21" i="23"/>
  <c r="A21" i="24"/>
  <c r="B20" i="24"/>
  <c r="D19" i="23"/>
  <c r="E19" i="24" s="1"/>
  <c r="B20" i="23"/>
  <c r="V35" i="41"/>
  <c r="L35" i="41"/>
  <c r="BO36" i="41"/>
  <c r="D37" i="41"/>
  <c r="B38" i="41"/>
  <c r="A39" i="41"/>
  <c r="DA38" i="41" l="1"/>
  <c r="CS38" i="41"/>
  <c r="CK38" i="41"/>
  <c r="CC38" i="41"/>
  <c r="DD38" i="41"/>
  <c r="CU38" i="41"/>
  <c r="CL38" i="41"/>
  <c r="CA38" i="41"/>
  <c r="CY38" i="41"/>
  <c r="CO38" i="41"/>
  <c r="CE38" i="41"/>
  <c r="CX38" i="41"/>
  <c r="CN38" i="41"/>
  <c r="CD38" i="41"/>
  <c r="CW38" i="41"/>
  <c r="CM38" i="41"/>
  <c r="CV38" i="41"/>
  <c r="CJ38" i="41"/>
  <c r="CT38" i="41"/>
  <c r="CI38" i="41"/>
  <c r="DC38" i="41"/>
  <c r="CR38" i="41"/>
  <c r="CH38" i="41"/>
  <c r="DB38" i="41"/>
  <c r="CQ38" i="41"/>
  <c r="CG38" i="41"/>
  <c r="CZ38" i="41"/>
  <c r="CP38" i="41"/>
  <c r="CF38" i="41"/>
  <c r="BJ38" i="41"/>
  <c r="BB38" i="41"/>
  <c r="AT38" i="41"/>
  <c r="AL38" i="41"/>
  <c r="BI38" i="41"/>
  <c r="BA38" i="41"/>
  <c r="AS38" i="41"/>
  <c r="AJ38" i="41"/>
  <c r="BH38" i="41"/>
  <c r="AZ38" i="41"/>
  <c r="AR38" i="41"/>
  <c r="BG38" i="41"/>
  <c r="AY38" i="41"/>
  <c r="AQ38" i="41"/>
  <c r="BF38" i="41"/>
  <c r="AX38" i="41"/>
  <c r="AP38" i="41"/>
  <c r="BM38" i="41"/>
  <c r="BE38" i="41"/>
  <c r="AW38" i="41"/>
  <c r="AO38" i="41"/>
  <c r="BL38" i="41"/>
  <c r="BD38" i="41"/>
  <c r="AV38" i="41"/>
  <c r="AN38" i="41"/>
  <c r="BK38" i="41"/>
  <c r="BC38" i="41"/>
  <c r="AU38" i="41"/>
  <c r="AM38" i="41"/>
  <c r="CB38" i="41"/>
  <c r="AK38" i="41"/>
  <c r="DE37" i="41"/>
  <c r="BN37" i="41"/>
  <c r="W35" i="41"/>
  <c r="W51" i="41" s="1"/>
  <c r="A22" i="23"/>
  <c r="A22" i="24"/>
  <c r="B21" i="24"/>
  <c r="D20" i="23"/>
  <c r="E20" i="24" s="1"/>
  <c r="B21" i="23"/>
  <c r="K36" i="41"/>
  <c r="BO37" i="41"/>
  <c r="B39" i="41"/>
  <c r="A40" i="41"/>
  <c r="D38" i="41"/>
  <c r="DD39" i="41" l="1"/>
  <c r="CV39" i="41"/>
  <c r="CN39" i="41"/>
  <c r="CF39" i="41"/>
  <c r="DB39" i="41"/>
  <c r="CS39" i="41"/>
  <c r="CJ39" i="41"/>
  <c r="DA39" i="41"/>
  <c r="CQ39" i="41"/>
  <c r="CG39" i="41"/>
  <c r="CZ39" i="41"/>
  <c r="CP39" i="41"/>
  <c r="CE39" i="41"/>
  <c r="CY39" i="41"/>
  <c r="CO39" i="41"/>
  <c r="CD39" i="41"/>
  <c r="CX39" i="41"/>
  <c r="CM39" i="41"/>
  <c r="CB39" i="41"/>
  <c r="CW39" i="41"/>
  <c r="CL39" i="41"/>
  <c r="CA39" i="41"/>
  <c r="CU39" i="41"/>
  <c r="CK39" i="41"/>
  <c r="CT39" i="41"/>
  <c r="CI39" i="41"/>
  <c r="DC39" i="41"/>
  <c r="CR39" i="41"/>
  <c r="CH39" i="41"/>
  <c r="BM39" i="41"/>
  <c r="BE39" i="41"/>
  <c r="AW39" i="41"/>
  <c r="AO39" i="41"/>
  <c r="BL39" i="41"/>
  <c r="BD39" i="41"/>
  <c r="AV39" i="41"/>
  <c r="AN39" i="41"/>
  <c r="BK39" i="41"/>
  <c r="BC39" i="41"/>
  <c r="AU39" i="41"/>
  <c r="AM39" i="41"/>
  <c r="BJ39" i="41"/>
  <c r="BB39" i="41"/>
  <c r="AT39" i="41"/>
  <c r="AK39" i="41"/>
  <c r="BI39" i="41"/>
  <c r="BA39" i="41"/>
  <c r="AS39" i="41"/>
  <c r="AJ39" i="41"/>
  <c r="BH39" i="41"/>
  <c r="AZ39" i="41"/>
  <c r="AR39" i="41"/>
  <c r="BG39" i="41"/>
  <c r="AY39" i="41"/>
  <c r="AQ39" i="41"/>
  <c r="BF39" i="41"/>
  <c r="AX39" i="41"/>
  <c r="AP39" i="41"/>
  <c r="AL39" i="41"/>
  <c r="CC39" i="41"/>
  <c r="DE38" i="41"/>
  <c r="L38" i="41" s="1"/>
  <c r="BN38" i="41"/>
  <c r="K38" i="41" s="1"/>
  <c r="A23" i="23"/>
  <c r="A23" i="24"/>
  <c r="B22" i="24"/>
  <c r="D21" i="23"/>
  <c r="E21" i="24" s="1"/>
  <c r="B22" i="23"/>
  <c r="K37" i="41"/>
  <c r="V37" i="41" s="1"/>
  <c r="L37" i="41"/>
  <c r="BO38" i="41"/>
  <c r="A41" i="41"/>
  <c r="B40" i="41"/>
  <c r="D39" i="41"/>
  <c r="CY40" i="41" l="1"/>
  <c r="CQ40" i="41"/>
  <c r="CI40" i="41"/>
  <c r="DA40" i="41"/>
  <c r="CR40" i="41"/>
  <c r="CH40" i="41"/>
  <c r="DD40" i="41"/>
  <c r="CT40" i="41"/>
  <c r="CJ40" i="41"/>
  <c r="DC40" i="41"/>
  <c r="CS40" i="41"/>
  <c r="CG40" i="41"/>
  <c r="DB40" i="41"/>
  <c r="CP40" i="41"/>
  <c r="CF40" i="41"/>
  <c r="CZ40" i="41"/>
  <c r="CO40" i="41"/>
  <c r="CE40" i="41"/>
  <c r="CX40" i="41"/>
  <c r="CN40" i="41"/>
  <c r="CC40" i="41"/>
  <c r="CW40" i="41"/>
  <c r="CM40" i="41"/>
  <c r="CB40" i="41"/>
  <c r="CV40" i="41"/>
  <c r="CL40" i="41"/>
  <c r="CA40" i="41"/>
  <c r="CU40" i="41"/>
  <c r="CK40" i="41"/>
  <c r="BH40" i="41"/>
  <c r="AZ40" i="41"/>
  <c r="AR40" i="41"/>
  <c r="BG40" i="41"/>
  <c r="AY40" i="41"/>
  <c r="AQ40" i="41"/>
  <c r="BF40" i="41"/>
  <c r="AX40" i="41"/>
  <c r="AP40" i="41"/>
  <c r="BM40" i="41"/>
  <c r="BE40" i="41"/>
  <c r="AW40" i="41"/>
  <c r="AO40" i="41"/>
  <c r="BL40" i="41"/>
  <c r="BD40" i="41"/>
  <c r="AV40" i="41"/>
  <c r="AN40" i="41"/>
  <c r="BK40" i="41"/>
  <c r="BC40" i="41"/>
  <c r="AU40" i="41"/>
  <c r="AL40" i="41"/>
  <c r="BJ40" i="41"/>
  <c r="BB40" i="41"/>
  <c r="AT40" i="41"/>
  <c r="AK40" i="41"/>
  <c r="BI40" i="41"/>
  <c r="AS40" i="41"/>
  <c r="AJ40" i="41"/>
  <c r="BA40" i="41"/>
  <c r="AM40" i="41"/>
  <c r="CD40" i="41"/>
  <c r="DE39" i="41"/>
  <c r="L39" i="41" s="1"/>
  <c r="BN39" i="41"/>
  <c r="K39" i="41" s="1"/>
  <c r="A24" i="23"/>
  <c r="A24" i="24"/>
  <c r="B23" i="24"/>
  <c r="D22" i="23"/>
  <c r="E22" i="24" s="1"/>
  <c r="B23" i="23"/>
  <c r="BO39" i="41"/>
  <c r="D40" i="41"/>
  <c r="A42" i="41"/>
  <c r="B41" i="41"/>
  <c r="DA41" i="41" l="1"/>
  <c r="CS41" i="41"/>
  <c r="CK41" i="41"/>
  <c r="CC41" i="41"/>
  <c r="CX41" i="41"/>
  <c r="CO41" i="41"/>
  <c r="CF41" i="41"/>
  <c r="CU41" i="41"/>
  <c r="CJ41" i="41"/>
  <c r="DD41" i="41"/>
  <c r="CT41" i="41"/>
  <c r="CI41" i="41"/>
  <c r="DC41" i="41"/>
  <c r="CR41" i="41"/>
  <c r="CH41" i="41"/>
  <c r="DB41" i="41"/>
  <c r="CQ41" i="41"/>
  <c r="CG41" i="41"/>
  <c r="CZ41" i="41"/>
  <c r="CP41" i="41"/>
  <c r="CE41" i="41"/>
  <c r="CY41" i="41"/>
  <c r="CN41" i="41"/>
  <c r="CD41" i="41"/>
  <c r="CW41" i="41"/>
  <c r="CM41" i="41"/>
  <c r="CB41" i="41"/>
  <c r="CV41" i="41"/>
  <c r="CL41" i="41"/>
  <c r="CA41" i="41"/>
  <c r="BJ41" i="41"/>
  <c r="BB41" i="41"/>
  <c r="AT41" i="41"/>
  <c r="AL41" i="41"/>
  <c r="BI41" i="41"/>
  <c r="BA41" i="41"/>
  <c r="AS41" i="41"/>
  <c r="AK41" i="41"/>
  <c r="BH41" i="41"/>
  <c r="AZ41" i="41"/>
  <c r="AR41" i="41"/>
  <c r="AJ41" i="41"/>
  <c r="BG41" i="41"/>
  <c r="AY41" i="41"/>
  <c r="AQ41" i="41"/>
  <c r="BF41" i="41"/>
  <c r="AX41" i="41"/>
  <c r="AP41" i="41"/>
  <c r="BM41" i="41"/>
  <c r="BE41" i="41"/>
  <c r="AW41" i="41"/>
  <c r="AO41" i="41"/>
  <c r="BL41" i="41"/>
  <c r="BD41" i="41"/>
  <c r="AV41" i="41"/>
  <c r="AN41" i="41"/>
  <c r="BK41" i="41"/>
  <c r="BC41" i="41"/>
  <c r="AU41" i="41"/>
  <c r="AM41" i="41"/>
  <c r="DE40" i="41"/>
  <c r="L40" i="41" s="1"/>
  <c r="BN40" i="41"/>
  <c r="A25" i="23"/>
  <c r="A25" i="24"/>
  <c r="B24" i="24"/>
  <c r="D23" i="23"/>
  <c r="E23" i="24" s="1"/>
  <c r="B24" i="23"/>
  <c r="D41" i="41"/>
  <c r="A43" i="41"/>
  <c r="B42" i="41"/>
  <c r="BO40" i="41"/>
  <c r="DC42" i="41" l="1"/>
  <c r="CU42" i="41"/>
  <c r="CM42" i="41"/>
  <c r="CE42" i="41"/>
  <c r="CV42" i="41"/>
  <c r="CL42" i="41"/>
  <c r="CC42" i="41"/>
  <c r="DD42" i="41"/>
  <c r="CT42" i="41"/>
  <c r="CK42" i="41"/>
  <c r="CB42" i="41"/>
  <c r="CZ42" i="41"/>
  <c r="CO42" i="41"/>
  <c r="CA42" i="41"/>
  <c r="CY42" i="41"/>
  <c r="CN42" i="41"/>
  <c r="CX42" i="41"/>
  <c r="CJ42" i="41"/>
  <c r="CW42" i="41"/>
  <c r="CI42" i="41"/>
  <c r="CS42" i="41"/>
  <c r="CH42" i="41"/>
  <c r="CR42" i="41"/>
  <c r="CG42" i="41"/>
  <c r="DB42" i="41"/>
  <c r="CQ42" i="41"/>
  <c r="CF42" i="41"/>
  <c r="DA42" i="41"/>
  <c r="CP42" i="41"/>
  <c r="CD42" i="41"/>
  <c r="BL42" i="41"/>
  <c r="BD42" i="41"/>
  <c r="AV42" i="41"/>
  <c r="AN42" i="41"/>
  <c r="BK42" i="41"/>
  <c r="BC42" i="41"/>
  <c r="AU42" i="41"/>
  <c r="AM42" i="41"/>
  <c r="BJ42" i="41"/>
  <c r="BB42" i="41"/>
  <c r="AT42" i="41"/>
  <c r="AL42" i="41"/>
  <c r="BI42" i="41"/>
  <c r="BA42" i="41"/>
  <c r="AS42" i="41"/>
  <c r="AK42" i="41"/>
  <c r="BH42" i="41"/>
  <c r="AZ42" i="41"/>
  <c r="AR42" i="41"/>
  <c r="AJ42" i="41"/>
  <c r="BG42" i="41"/>
  <c r="AY42" i="41"/>
  <c r="AQ42" i="41"/>
  <c r="BF42" i="41"/>
  <c r="AX42" i="41"/>
  <c r="AP42" i="41"/>
  <c r="BM42" i="41"/>
  <c r="BE42" i="41"/>
  <c r="AW42" i="41"/>
  <c r="AO42" i="41"/>
  <c r="DE41" i="41"/>
  <c r="L41" i="41" s="1"/>
  <c r="BN41" i="41"/>
  <c r="K41" i="41" s="1"/>
  <c r="A26" i="23"/>
  <c r="A26" i="24"/>
  <c r="B25" i="24"/>
  <c r="D24" i="23"/>
  <c r="E24" i="24" s="1"/>
  <c r="B25" i="23"/>
  <c r="K40" i="41"/>
  <c r="BO41" i="41"/>
  <c r="D42" i="41"/>
  <c r="B43" i="41"/>
  <c r="A44" i="41"/>
  <c r="CW43" i="41" l="1"/>
  <c r="CO43" i="41"/>
  <c r="CG43" i="41"/>
  <c r="DB43" i="41"/>
  <c r="CS43" i="41"/>
  <c r="CJ43" i="41"/>
  <c r="CA43" i="41"/>
  <c r="DA43" i="41"/>
  <c r="CR43" i="41"/>
  <c r="CI43" i="41"/>
  <c r="CU43" i="41"/>
  <c r="CH43" i="41"/>
  <c r="CT43" i="41"/>
  <c r="CF43" i="41"/>
  <c r="DD43" i="41"/>
  <c r="CQ43" i="41"/>
  <c r="CE43" i="41"/>
  <c r="DC43" i="41"/>
  <c r="CP43" i="41"/>
  <c r="CD43" i="41"/>
  <c r="CZ43" i="41"/>
  <c r="CN43" i="41"/>
  <c r="CC43" i="41"/>
  <c r="CY43" i="41"/>
  <c r="CM43" i="41"/>
  <c r="CB43" i="41"/>
  <c r="CX43" i="41"/>
  <c r="CL43" i="41"/>
  <c r="CV43" i="41"/>
  <c r="CK43" i="41"/>
  <c r="BF43" i="41"/>
  <c r="AX43" i="41"/>
  <c r="AP43" i="41"/>
  <c r="BM43" i="41"/>
  <c r="BE43" i="41"/>
  <c r="AW43" i="41"/>
  <c r="AO43" i="41"/>
  <c r="BL43" i="41"/>
  <c r="BD43" i="41"/>
  <c r="AV43" i="41"/>
  <c r="AN43" i="41"/>
  <c r="BK43" i="41"/>
  <c r="BC43" i="41"/>
  <c r="AU43" i="41"/>
  <c r="AM43" i="41"/>
  <c r="BJ43" i="41"/>
  <c r="BB43" i="41"/>
  <c r="AT43" i="41"/>
  <c r="AL43" i="41"/>
  <c r="BI43" i="41"/>
  <c r="BA43" i="41"/>
  <c r="AS43" i="41"/>
  <c r="AK43" i="41"/>
  <c r="BH43" i="41"/>
  <c r="AZ43" i="41"/>
  <c r="AR43" i="41"/>
  <c r="AJ43" i="41"/>
  <c r="BG43" i="41"/>
  <c r="AY43" i="41"/>
  <c r="AQ43" i="41"/>
  <c r="DE42" i="41"/>
  <c r="L42" i="41" s="1"/>
  <c r="BN42" i="41"/>
  <c r="A27" i="23"/>
  <c r="A27" i="24"/>
  <c r="B26" i="24"/>
  <c r="D25" i="23"/>
  <c r="E25" i="24" s="1"/>
  <c r="B26" i="23"/>
  <c r="D43" i="41"/>
  <c r="A45" i="41"/>
  <c r="B44" i="41"/>
  <c r="BO42" i="41"/>
  <c r="CZ44" i="41" l="1"/>
  <c r="CR44" i="41"/>
  <c r="CJ44" i="41"/>
  <c r="CB44" i="41"/>
  <c r="DA44" i="41"/>
  <c r="CQ44" i="41"/>
  <c r="CH44" i="41"/>
  <c r="CY44" i="41"/>
  <c r="CP44" i="41"/>
  <c r="CG44" i="41"/>
  <c r="DC44" i="41"/>
  <c r="CO44" i="41"/>
  <c r="CD44" i="41"/>
  <c r="DB44" i="41"/>
  <c r="CN44" i="41"/>
  <c r="CC44" i="41"/>
  <c r="CX44" i="41"/>
  <c r="CM44" i="41"/>
  <c r="CW44" i="41"/>
  <c r="CL44" i="41"/>
  <c r="CV44" i="41"/>
  <c r="CK44" i="41"/>
  <c r="CU44" i="41"/>
  <c r="CI44" i="41"/>
  <c r="CT44" i="41"/>
  <c r="CF44" i="41"/>
  <c r="DD44" i="41"/>
  <c r="CS44" i="41"/>
  <c r="CE44" i="41"/>
  <c r="BI44" i="41"/>
  <c r="BA44" i="41"/>
  <c r="AS44" i="41"/>
  <c r="AK44" i="41"/>
  <c r="BH44" i="41"/>
  <c r="AZ44" i="41"/>
  <c r="AR44" i="41"/>
  <c r="BG44" i="41"/>
  <c r="AY44" i="41"/>
  <c r="AQ44" i="41"/>
  <c r="BF44" i="41"/>
  <c r="AX44" i="41"/>
  <c r="AP44" i="41"/>
  <c r="BM44" i="41"/>
  <c r="BE44" i="41"/>
  <c r="AW44" i="41"/>
  <c r="AO44" i="41"/>
  <c r="BL44" i="41"/>
  <c r="BD44" i="41"/>
  <c r="AV44" i="41"/>
  <c r="AN44" i="41"/>
  <c r="BK44" i="41"/>
  <c r="BC44" i="41"/>
  <c r="AU44" i="41"/>
  <c r="AM44" i="41"/>
  <c r="AL44" i="41"/>
  <c r="BJ44" i="41"/>
  <c r="BB44" i="41"/>
  <c r="AT44" i="41"/>
  <c r="AJ44" i="41"/>
  <c r="CA44" i="41"/>
  <c r="DE43" i="41"/>
  <c r="L43" i="41" s="1"/>
  <c r="BN43" i="41"/>
  <c r="K43" i="41" s="1"/>
  <c r="A28" i="23"/>
  <c r="A28" i="24"/>
  <c r="B27" i="24"/>
  <c r="D26" i="23"/>
  <c r="E26" i="24" s="1"/>
  <c r="B27" i="23"/>
  <c r="K42" i="41"/>
  <c r="D44" i="41"/>
  <c r="BO43" i="41"/>
  <c r="B45" i="41"/>
  <c r="A46" i="41"/>
  <c r="DC45" i="41" l="1"/>
  <c r="CU45" i="41"/>
  <c r="CM45" i="41"/>
  <c r="CE45" i="41"/>
  <c r="CY45" i="41"/>
  <c r="CP45" i="41"/>
  <c r="CG45" i="41"/>
  <c r="CX45" i="41"/>
  <c r="CO45" i="41"/>
  <c r="CF45" i="41"/>
  <c r="CW45" i="41"/>
  <c r="CK45" i="41"/>
  <c r="CV45" i="41"/>
  <c r="CJ45" i="41"/>
  <c r="CT45" i="41"/>
  <c r="CI45" i="41"/>
  <c r="CS45" i="41"/>
  <c r="CH45" i="41"/>
  <c r="DD45" i="41"/>
  <c r="CR45" i="41"/>
  <c r="CD45" i="41"/>
  <c r="DB45" i="41"/>
  <c r="CQ45" i="41"/>
  <c r="CC45" i="41"/>
  <c r="DA45" i="41"/>
  <c r="CN45" i="41"/>
  <c r="CA45" i="41"/>
  <c r="CZ45" i="41"/>
  <c r="CL45" i="41"/>
  <c r="BL45" i="41"/>
  <c r="BD45" i="41"/>
  <c r="AV45" i="41"/>
  <c r="AN45" i="41"/>
  <c r="BK45" i="41"/>
  <c r="BC45" i="41"/>
  <c r="AU45" i="41"/>
  <c r="AM45" i="41"/>
  <c r="BJ45" i="41"/>
  <c r="BB45" i="41"/>
  <c r="AT45" i="41"/>
  <c r="AL45" i="41"/>
  <c r="BI45" i="41"/>
  <c r="BA45" i="41"/>
  <c r="AS45" i="41"/>
  <c r="AJ45" i="41"/>
  <c r="BH45" i="41"/>
  <c r="AZ45" i="41"/>
  <c r="AR45" i="41"/>
  <c r="BG45" i="41"/>
  <c r="AY45" i="41"/>
  <c r="AQ45" i="41"/>
  <c r="BF45" i="41"/>
  <c r="AX45" i="41"/>
  <c r="AP45" i="41"/>
  <c r="BM45" i="41"/>
  <c r="BE45" i="41"/>
  <c r="AW45" i="41"/>
  <c r="AO45" i="41"/>
  <c r="CB45" i="41"/>
  <c r="AK45" i="41"/>
  <c r="DE44" i="41"/>
  <c r="L44" i="41" s="1"/>
  <c r="BN44" i="41"/>
  <c r="K44" i="41" s="1"/>
  <c r="A29" i="23"/>
  <c r="A29" i="24"/>
  <c r="B28" i="24"/>
  <c r="D27" i="23"/>
  <c r="E27" i="24" s="1"/>
  <c r="B28" i="23"/>
  <c r="V43" i="41"/>
  <c r="B46" i="41"/>
  <c r="A47" i="41"/>
  <c r="D45" i="41"/>
  <c r="BO44" i="41"/>
  <c r="CX46" i="41" l="1"/>
  <c r="CP46" i="41"/>
  <c r="CH46" i="41"/>
  <c r="CW46" i="41"/>
  <c r="CN46" i="41"/>
  <c r="CE46" i="41"/>
  <c r="CV46" i="41"/>
  <c r="CM46" i="41"/>
  <c r="CD46" i="41"/>
  <c r="DB46" i="41"/>
  <c r="CS46" i="41"/>
  <c r="CT46" i="41"/>
  <c r="CG46" i="41"/>
  <c r="CR46" i="41"/>
  <c r="CF46" i="41"/>
  <c r="DD46" i="41"/>
  <c r="CQ46" i="41"/>
  <c r="CB46" i="41"/>
  <c r="DC46" i="41"/>
  <c r="CO46" i="41"/>
  <c r="CA46" i="41"/>
  <c r="DA46" i="41"/>
  <c r="CL46" i="41"/>
  <c r="CZ46" i="41"/>
  <c r="CK46" i="41"/>
  <c r="CY46" i="41"/>
  <c r="CJ46" i="41"/>
  <c r="CU46" i="41"/>
  <c r="CI46" i="41"/>
  <c r="BG46" i="41"/>
  <c r="AY46" i="41"/>
  <c r="AQ46" i="41"/>
  <c r="BF46" i="41"/>
  <c r="AX46" i="41"/>
  <c r="AP46" i="41"/>
  <c r="BM46" i="41"/>
  <c r="BE46" i="41"/>
  <c r="AW46" i="41"/>
  <c r="AO46" i="41"/>
  <c r="BL46" i="41"/>
  <c r="BD46" i="41"/>
  <c r="AV46" i="41"/>
  <c r="AN46" i="41"/>
  <c r="BK46" i="41"/>
  <c r="BC46" i="41"/>
  <c r="AU46" i="41"/>
  <c r="AM46" i="41"/>
  <c r="BJ46" i="41"/>
  <c r="BB46" i="41"/>
  <c r="AT46" i="41"/>
  <c r="AK46" i="41"/>
  <c r="BI46" i="41"/>
  <c r="BA46" i="41"/>
  <c r="AS46" i="41"/>
  <c r="AJ46" i="41"/>
  <c r="BH46" i="41"/>
  <c r="AZ46" i="41"/>
  <c r="AR46" i="41"/>
  <c r="AL46" i="41"/>
  <c r="CC46" i="41"/>
  <c r="DE45" i="41"/>
  <c r="L45" i="41" s="1"/>
  <c r="BN45" i="41"/>
  <c r="K45" i="41" s="1"/>
  <c r="A30" i="23"/>
  <c r="A30" i="24"/>
  <c r="B29" i="24"/>
  <c r="D28" i="23"/>
  <c r="E28" i="24" s="1"/>
  <c r="V51" i="41"/>
  <c r="B29" i="23"/>
  <c r="BO45" i="41"/>
  <c r="A48" i="41"/>
  <c r="B47" i="41"/>
  <c r="D46" i="41"/>
  <c r="DA47" i="41" l="1"/>
  <c r="CS47" i="41"/>
  <c r="CK47" i="41"/>
  <c r="CB47" i="41"/>
  <c r="CV47" i="41"/>
  <c r="CM47" i="41"/>
  <c r="CC47" i="41"/>
  <c r="DD47" i="41"/>
  <c r="CU47" i="41"/>
  <c r="CL47" i="41"/>
  <c r="CA47" i="41"/>
  <c r="CZ47" i="41"/>
  <c r="CQ47" i="41"/>
  <c r="CH47" i="41"/>
  <c r="CT47" i="41"/>
  <c r="CF47" i="41"/>
  <c r="CR47" i="41"/>
  <c r="CE47" i="41"/>
  <c r="CP47" i="41"/>
  <c r="DC47" i="41"/>
  <c r="CO47" i="41"/>
  <c r="DB47" i="41"/>
  <c r="CN47" i="41"/>
  <c r="CY47" i="41"/>
  <c r="CJ47" i="41"/>
  <c r="CX47" i="41"/>
  <c r="CI47" i="41"/>
  <c r="CW47" i="41"/>
  <c r="CG47" i="41"/>
  <c r="BJ47" i="41"/>
  <c r="BB47" i="41"/>
  <c r="AT47" i="41"/>
  <c r="AK47" i="41"/>
  <c r="BI47" i="41"/>
  <c r="BA47" i="41"/>
  <c r="AS47" i="41"/>
  <c r="AJ47" i="41"/>
  <c r="BH47" i="41"/>
  <c r="AZ47" i="41"/>
  <c r="AR47" i="41"/>
  <c r="BG47" i="41"/>
  <c r="AY47" i="41"/>
  <c r="AQ47" i="41"/>
  <c r="BF47" i="41"/>
  <c r="AX47" i="41"/>
  <c r="AP47" i="41"/>
  <c r="BM47" i="41"/>
  <c r="BE47" i="41"/>
  <c r="AW47" i="41"/>
  <c r="AO47" i="41"/>
  <c r="BL47" i="41"/>
  <c r="BD47" i="41"/>
  <c r="AV47" i="41"/>
  <c r="AN47" i="41"/>
  <c r="BK47" i="41"/>
  <c r="BC47" i="41"/>
  <c r="AU47" i="41"/>
  <c r="AL47" i="41"/>
  <c r="CD47" i="41"/>
  <c r="AM47" i="41"/>
  <c r="DE46" i="41"/>
  <c r="L46" i="41" s="1"/>
  <c r="BN46" i="41"/>
  <c r="K46" i="41" s="1"/>
  <c r="A31" i="23"/>
  <c r="A31" i="24"/>
  <c r="B30" i="24"/>
  <c r="D29" i="23"/>
  <c r="E29" i="24" s="1"/>
  <c r="B30" i="23"/>
  <c r="BO46" i="41"/>
  <c r="D47" i="41"/>
  <c r="A49" i="41"/>
  <c r="B48" i="41"/>
  <c r="DC48" i="41" l="1"/>
  <c r="CU48" i="41"/>
  <c r="CM48" i="41"/>
  <c r="CE48" i="41"/>
  <c r="DB48" i="41"/>
  <c r="CS48" i="41"/>
  <c r="CJ48" i="41"/>
  <c r="CA48" i="41"/>
  <c r="DA48" i="41"/>
  <c r="CR48" i="41"/>
  <c r="CI48" i="41"/>
  <c r="CX48" i="41"/>
  <c r="CO48" i="41"/>
  <c r="CF48" i="41"/>
  <c r="CT48" i="41"/>
  <c r="CD48" i="41"/>
  <c r="CQ48" i="41"/>
  <c r="CC48" i="41"/>
  <c r="CP48" i="41"/>
  <c r="CB48" i="41"/>
  <c r="DD48" i="41"/>
  <c r="CN48" i="41"/>
  <c r="CZ48" i="41"/>
  <c r="CL48" i="41"/>
  <c r="CY48" i="41"/>
  <c r="CK48" i="41"/>
  <c r="CW48" i="41"/>
  <c r="CH48" i="41"/>
  <c r="CV48" i="41"/>
  <c r="CG48" i="41"/>
  <c r="BL48" i="41"/>
  <c r="BD48" i="41"/>
  <c r="AV48" i="41"/>
  <c r="AN48" i="41"/>
  <c r="BK48" i="41"/>
  <c r="BC48" i="41"/>
  <c r="AU48" i="41"/>
  <c r="AM48" i="41"/>
  <c r="BJ48" i="41"/>
  <c r="BB48" i="41"/>
  <c r="AT48" i="41"/>
  <c r="AL48" i="41"/>
  <c r="BI48" i="41"/>
  <c r="BA48" i="41"/>
  <c r="AS48" i="41"/>
  <c r="AK48" i="41"/>
  <c r="BH48" i="41"/>
  <c r="AZ48" i="41"/>
  <c r="AR48" i="41"/>
  <c r="AJ48" i="41"/>
  <c r="BG48" i="41"/>
  <c r="AY48" i="41"/>
  <c r="AQ48" i="41"/>
  <c r="BF48" i="41"/>
  <c r="AX48" i="41"/>
  <c r="AP48" i="41"/>
  <c r="BM48" i="41"/>
  <c r="BE48" i="41"/>
  <c r="AW48" i="41"/>
  <c r="AO48" i="41"/>
  <c r="DE47" i="41"/>
  <c r="L47" i="41" s="1"/>
  <c r="BN47" i="41"/>
  <c r="K47" i="41" s="1"/>
  <c r="A32" i="23"/>
  <c r="A32" i="24"/>
  <c r="B31" i="24"/>
  <c r="D30" i="23"/>
  <c r="E30" i="24" s="1"/>
  <c r="B31" i="23"/>
  <c r="BO47" i="41"/>
  <c r="A50" i="41"/>
  <c r="A33" i="24" s="1"/>
  <c r="B49" i="41"/>
  <c r="D48" i="41"/>
  <c r="CW49" i="41" l="1"/>
  <c r="CO49" i="41"/>
  <c r="CG49" i="41"/>
  <c r="CZ49" i="41"/>
  <c r="CQ49" i="41"/>
  <c r="CH49" i="41"/>
  <c r="CY49" i="41"/>
  <c r="CP49" i="41"/>
  <c r="CF49" i="41"/>
  <c r="DD49" i="41"/>
  <c r="CU49" i="41"/>
  <c r="CL49" i="41"/>
  <c r="CC49" i="41"/>
  <c r="CS49" i="41"/>
  <c r="CD49" i="41"/>
  <c r="CR49" i="41"/>
  <c r="CB49" i="41"/>
  <c r="DC49" i="41"/>
  <c r="CN49" i="41"/>
  <c r="CA49" i="41"/>
  <c r="DB49" i="41"/>
  <c r="CM49" i="41"/>
  <c r="DA49" i="41"/>
  <c r="CK49" i="41"/>
  <c r="CX49" i="41"/>
  <c r="CJ49" i="41"/>
  <c r="CV49" i="41"/>
  <c r="CI49" i="41"/>
  <c r="CT49" i="41"/>
  <c r="CE49" i="41"/>
  <c r="BF49" i="41"/>
  <c r="AX49" i="41"/>
  <c r="AP49" i="41"/>
  <c r="BM49" i="41"/>
  <c r="BE49" i="41"/>
  <c r="AW49" i="41"/>
  <c r="AO49" i="41"/>
  <c r="BL49" i="41"/>
  <c r="BD49" i="41"/>
  <c r="AV49" i="41"/>
  <c r="AN49" i="41"/>
  <c r="BK49" i="41"/>
  <c r="BC49" i="41"/>
  <c r="AU49" i="41"/>
  <c r="AM49" i="41"/>
  <c r="BJ49" i="41"/>
  <c r="BB49" i="41"/>
  <c r="AT49" i="41"/>
  <c r="AL49" i="41"/>
  <c r="BI49" i="41"/>
  <c r="BA49" i="41"/>
  <c r="AS49" i="41"/>
  <c r="AK49" i="41"/>
  <c r="BH49" i="41"/>
  <c r="AZ49" i="41"/>
  <c r="AR49" i="41"/>
  <c r="AJ49" i="41"/>
  <c r="BG49" i="41"/>
  <c r="AY49" i="41"/>
  <c r="AQ49" i="41"/>
  <c r="DE48" i="41"/>
  <c r="L48" i="41" s="1"/>
  <c r="BN48" i="41"/>
  <c r="B32" i="24"/>
  <c r="D31" i="23"/>
  <c r="E31" i="24" s="1"/>
  <c r="B32" i="23"/>
  <c r="B50" i="41"/>
  <c r="A33" i="23"/>
  <c r="K42" i="82"/>
  <c r="Y51" i="41"/>
  <c r="D49" i="41"/>
  <c r="BO48" i="41"/>
  <c r="CF50" i="41" l="1"/>
  <c r="CF51" i="41" s="1"/>
  <c r="CN50" i="41"/>
  <c r="CV50" i="41"/>
  <c r="CV52" i="41" s="1"/>
  <c r="AM45" i="23" s="1"/>
  <c r="DD50" i="41"/>
  <c r="DD52" i="41" s="1"/>
  <c r="AV48" i="23" s="1"/>
  <c r="CH50" i="41"/>
  <c r="CH52" i="41" s="1"/>
  <c r="O46" i="23" s="1"/>
  <c r="CQ50" i="41"/>
  <c r="CQ52" i="41" s="1"/>
  <c r="AE45" i="23" s="1"/>
  <c r="CZ50" i="41"/>
  <c r="CZ52" i="41" s="1"/>
  <c r="AV44" i="23" s="1"/>
  <c r="CI50" i="41"/>
  <c r="CI51" i="41" s="1"/>
  <c r="CR50" i="41"/>
  <c r="CR52" i="41" s="1"/>
  <c r="AE46" i="23" s="1"/>
  <c r="DA50" i="41"/>
  <c r="DA52" i="41" s="1"/>
  <c r="AV45" i="23" s="1"/>
  <c r="CC50" i="41"/>
  <c r="CL50" i="41"/>
  <c r="CU50" i="41"/>
  <c r="CU52" i="41" s="1"/>
  <c r="AM44" i="23" s="1"/>
  <c r="CM50" i="41"/>
  <c r="CM52" i="41" s="1"/>
  <c r="W46" i="23" s="1"/>
  <c r="DB50" i="41"/>
  <c r="DB52" i="41" s="1"/>
  <c r="AV46" i="23" s="1"/>
  <c r="CA50" i="41"/>
  <c r="CO50" i="41"/>
  <c r="CO52" i="41" s="1"/>
  <c r="W48" i="23" s="1"/>
  <c r="DC50" i="41"/>
  <c r="DC52" i="41" s="1"/>
  <c r="AV47" i="23" s="1"/>
  <c r="CB50" i="41"/>
  <c r="CB51" i="41" s="1"/>
  <c r="CP50" i="41"/>
  <c r="CD50" i="41"/>
  <c r="CD52" i="41" s="1"/>
  <c r="G47" i="23" s="1"/>
  <c r="CS50" i="41"/>
  <c r="CS52" i="41" s="1"/>
  <c r="AE47" i="23" s="1"/>
  <c r="CE50" i="41"/>
  <c r="CT50" i="41"/>
  <c r="CT52" i="41" s="1"/>
  <c r="AE48" i="23" s="1"/>
  <c r="CG50" i="41"/>
  <c r="CG52" i="41" s="1"/>
  <c r="O45" i="23" s="1"/>
  <c r="CW50" i="41"/>
  <c r="CW52" i="41" s="1"/>
  <c r="AM46" i="23" s="1"/>
  <c r="CJ50" i="41"/>
  <c r="CX50" i="41"/>
  <c r="CX52" i="41" s="1"/>
  <c r="AM47" i="23" s="1"/>
  <c r="CK50" i="41"/>
  <c r="CK52" i="41" s="1"/>
  <c r="W44" i="23" s="1"/>
  <c r="CY50" i="41"/>
  <c r="CY52" i="41" s="1"/>
  <c r="AM48" i="23" s="1"/>
  <c r="AM50" i="41"/>
  <c r="AM51" i="41" s="1"/>
  <c r="AN50" i="41"/>
  <c r="AN51" i="41" s="1"/>
  <c r="AV50" i="41"/>
  <c r="BD50" i="41"/>
  <c r="BL50" i="41"/>
  <c r="AO50" i="41"/>
  <c r="AO51" i="41" s="1"/>
  <c r="AW50" i="41"/>
  <c r="BE50" i="41"/>
  <c r="BM50" i="41"/>
  <c r="AP50" i="41"/>
  <c r="AP51" i="41" s="1"/>
  <c r="AX50" i="41"/>
  <c r="BF50" i="41"/>
  <c r="AQ50" i="41"/>
  <c r="AY50" i="41"/>
  <c r="BG50" i="41"/>
  <c r="AJ50" i="41"/>
  <c r="AJ51" i="41" s="1"/>
  <c r="AR50" i="41"/>
  <c r="AZ50" i="41"/>
  <c r="AZ51" i="41" s="1"/>
  <c r="BH50" i="41"/>
  <c r="AK50" i="41"/>
  <c r="CB52" i="41" s="1"/>
  <c r="G45" i="23" s="1"/>
  <c r="AS50" i="41"/>
  <c r="BA50" i="41"/>
  <c r="BA51" i="41" s="1"/>
  <c r="BI50" i="41"/>
  <c r="AL50" i="41"/>
  <c r="AL51" i="41" s="1"/>
  <c r="AT50" i="41"/>
  <c r="AU50" i="41"/>
  <c r="AU51" i="41" s="1"/>
  <c r="BB50" i="41"/>
  <c r="BC50" i="41"/>
  <c r="BJ50" i="41"/>
  <c r="BK50" i="41"/>
  <c r="DA51" i="41"/>
  <c r="CZ51" i="41"/>
  <c r="DB51" i="41"/>
  <c r="DC51" i="41"/>
  <c r="CV51" i="41"/>
  <c r="DD51" i="41"/>
  <c r="CW51" i="41"/>
  <c r="CX51" i="41"/>
  <c r="CY51" i="41"/>
  <c r="DE49" i="41"/>
  <c r="L49" i="41" s="1"/>
  <c r="BN49" i="41"/>
  <c r="BD51" i="41"/>
  <c r="CQ51" i="41"/>
  <c r="CC51" i="41"/>
  <c r="CM51" i="41"/>
  <c r="CP51" i="41"/>
  <c r="CJ51" i="41"/>
  <c r="AS51" i="41"/>
  <c r="CL51" i="41"/>
  <c r="CN51" i="41"/>
  <c r="CE51" i="41"/>
  <c r="AV51" i="41"/>
  <c r="CO51" i="41"/>
  <c r="AQ51" i="41"/>
  <c r="BC51" i="41"/>
  <c r="AX51" i="41"/>
  <c r="AY51" i="41"/>
  <c r="AR51" i="41"/>
  <c r="AK51" i="41"/>
  <c r="AT51" i="41"/>
  <c r="CR51" i="41"/>
  <c r="AW51" i="41"/>
  <c r="BB51" i="41"/>
  <c r="B33" i="24"/>
  <c r="D32" i="23"/>
  <c r="E32" i="24" s="1"/>
  <c r="D50" i="41"/>
  <c r="E42" i="82"/>
  <c r="E50" i="82" s="1"/>
  <c r="I42" i="82"/>
  <c r="I50" i="82" s="1"/>
  <c r="G42" i="82"/>
  <c r="G50" i="82" s="1"/>
  <c r="K50" i="82"/>
  <c r="K47" i="82"/>
  <c r="AC51" i="41"/>
  <c r="B33" i="23"/>
  <c r="K48" i="41"/>
  <c r="BO49" i="41"/>
  <c r="CG51" i="41" l="1"/>
  <c r="CH51" i="41"/>
  <c r="CJ52" i="41"/>
  <c r="O48" i="23" s="1"/>
  <c r="CS51" i="41"/>
  <c r="CC52" i="41"/>
  <c r="G46" i="23" s="1"/>
  <c r="CK51" i="41"/>
  <c r="CU51" i="41"/>
  <c r="CA52" i="41"/>
  <c r="G44" i="23" s="1"/>
  <c r="CD51" i="41"/>
  <c r="CT51" i="41"/>
  <c r="CN52" i="41"/>
  <c r="W47" i="23" s="1"/>
  <c r="CF52" i="41"/>
  <c r="O44" i="23" s="1"/>
  <c r="CE52" i="41"/>
  <c r="G48" i="23" s="1"/>
  <c r="CI52" i="41"/>
  <c r="O47" i="23" s="1"/>
  <c r="CP52" i="41"/>
  <c r="AE44" i="23" s="1"/>
  <c r="CL52" i="41"/>
  <c r="W45" i="23" s="1"/>
  <c r="CA51" i="41"/>
  <c r="DE50" i="41"/>
  <c r="BN50" i="41"/>
  <c r="K50" i="41" s="1"/>
  <c r="D33" i="23"/>
  <c r="E33" i="24" s="1"/>
  <c r="BR51" i="41"/>
  <c r="E47" i="82"/>
  <c r="O42" i="82"/>
  <c r="I47" i="82"/>
  <c r="BO50" i="41"/>
  <c r="M42" i="82"/>
  <c r="M47" i="82" s="1"/>
  <c r="G47" i="82"/>
  <c r="K49" i="41"/>
  <c r="L50" i="41" l="1"/>
  <c r="K51" i="41"/>
  <c r="J25" i="1" s="1"/>
  <c r="BN51" i="41"/>
  <c r="M50" i="82"/>
  <c r="L51" i="41" l="1"/>
  <c r="J26" i="1" s="1"/>
  <c r="BK51" i="41"/>
  <c r="BJ51" i="41"/>
  <c r="BI51" i="41"/>
  <c r="BH51" i="41"/>
  <c r="BG51" i="41"/>
  <c r="BF51" i="41"/>
  <c r="BM51" i="41"/>
  <c r="BE51" i="41"/>
  <c r="BL51" i="41"/>
  <c r="DE51" i="41"/>
  <c r="I58" i="41" l="1"/>
  <c r="I60" i="41"/>
  <c r="C10" i="50"/>
  <c r="C22" i="50" s="1"/>
  <c r="I59" i="41" l="1"/>
  <c r="D10" i="50" s="1"/>
  <c r="C29" i="50"/>
  <c r="C32" i="50" s="1"/>
  <c r="D20" i="2"/>
  <c r="H21" i="2" s="1"/>
  <c r="H25" i="2" s="1"/>
  <c r="H20" i="2"/>
  <c r="G20" i="2"/>
  <c r="F20" i="2"/>
  <c r="E20" i="2"/>
  <c r="E33" i="2" s="1"/>
  <c r="C4" i="2"/>
  <c r="C2" i="2"/>
  <c r="C3" i="2"/>
  <c r="E31" i="2"/>
  <c r="E32" i="2"/>
  <c r="E30" i="2"/>
  <c r="E26" i="2"/>
  <c r="D29" i="50" l="1"/>
  <c r="D32" i="50" s="1"/>
  <c r="D22" i="50"/>
  <c r="G19" i="1"/>
  <c r="M17" i="1" s="1"/>
  <c r="N17" i="1" s="1"/>
  <c r="N19" i="1" s="1"/>
  <c r="I16" i="1" s="1"/>
  <c r="J55" i="1" l="1"/>
  <c r="I19" i="1"/>
  <c r="J24" i="1" s="1"/>
  <c r="J30" i="1" s="1"/>
  <c r="I52" i="43"/>
  <c r="I49" i="43"/>
  <c r="F52" i="43"/>
  <c r="F49" i="43"/>
  <c r="I57" i="86" l="1"/>
  <c r="E14" i="50" s="1"/>
  <c r="E39" i="50" s="1"/>
  <c r="I57" i="84"/>
  <c r="E12" i="50" s="1"/>
  <c r="E31" i="50" s="1"/>
  <c r="I56" i="83"/>
  <c r="E11" i="50" s="1"/>
  <c r="E30" i="50" s="1"/>
  <c r="I62" i="41"/>
  <c r="E10" i="50" s="1"/>
  <c r="I56" i="85"/>
  <c r="E13" i="50" s="1"/>
  <c r="E38" i="50" s="1"/>
  <c r="I57" i="87"/>
  <c r="E15" i="50" s="1"/>
  <c r="E40" i="50" s="1"/>
  <c r="I57" i="89"/>
  <c r="E17" i="50" s="1"/>
  <c r="E48" i="50" s="1"/>
  <c r="I56" i="92"/>
  <c r="E20" i="50" s="1"/>
  <c r="E57" i="50" s="1"/>
  <c r="I55" i="88"/>
  <c r="E16" i="50" s="1"/>
  <c r="E47" i="50" s="1"/>
  <c r="I57" i="91"/>
  <c r="E19" i="50" s="1"/>
  <c r="E56" i="50" s="1"/>
  <c r="I57" i="93"/>
  <c r="E21" i="50" s="1"/>
  <c r="E58" i="50" s="1"/>
  <c r="G52" i="43"/>
  <c r="G49" i="43"/>
  <c r="H52" i="43"/>
  <c r="H49" i="43"/>
  <c r="E52" i="43"/>
  <c r="J53" i="1" l="1"/>
  <c r="J56" i="1"/>
  <c r="E64" i="50" s="1"/>
  <c r="E59" i="50"/>
  <c r="E61" i="50" s="1"/>
  <c r="E41" i="50"/>
  <c r="E42" i="50" s="1"/>
  <c r="E29" i="50"/>
  <c r="E32" i="50" s="1"/>
  <c r="I56" i="90"/>
  <c r="E18" i="50" s="1"/>
  <c r="E49" i="50" s="1"/>
  <c r="E50" i="50" s="1"/>
  <c r="E60" i="50" l="1"/>
  <c r="E43" i="50"/>
  <c r="E52" i="50"/>
  <c r="E51" i="50"/>
  <c r="E22" i="50"/>
  <c r="E23" i="50" s="1"/>
  <c r="E34" i="50"/>
  <c r="E33" i="50"/>
  <c r="E63" i="50" l="1"/>
  <c r="E24"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21"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B13" authorId="0" shapeId="0" xr:uid="{9D413BB5-7920-8841-A5FE-77EEEE45A01F}">
      <text>
        <r>
          <rPr>
            <b/>
            <sz val="10"/>
            <color rgb="FF000000"/>
            <rFont val="Tahoma"/>
            <family val="2"/>
          </rPr>
          <t>Tove Dohn:</t>
        </r>
        <r>
          <rPr>
            <sz val="10"/>
            <color rgb="FF000000"/>
            <rFont val="Tahoma"/>
            <family val="2"/>
          </rPr>
          <t xml:space="preserve">
</t>
        </r>
        <r>
          <rPr>
            <sz val="10"/>
            <color rgb="FF000000"/>
            <rFont val="Tahoma"/>
            <family val="2"/>
          </rPr>
          <t>Brug kolon og ikke punktum.</t>
        </r>
      </text>
    </comment>
    <comment ref="A14" authorId="0" shapeId="0" xr:uid="{0517EABF-2B5F-CF46-BD1F-43437C35CF81}">
      <text>
        <r>
          <rPr>
            <b/>
            <sz val="10"/>
            <color rgb="FF000000"/>
            <rFont val="Tahoma"/>
            <family val="2"/>
          </rPr>
          <t>Tove Dohn:</t>
        </r>
        <r>
          <rPr>
            <sz val="10"/>
            <color rgb="FF000000"/>
            <rFont val="Tahoma"/>
            <family val="2"/>
          </rPr>
          <t xml:space="preserve">
</t>
        </r>
        <r>
          <rPr>
            <sz val="10"/>
            <color rgb="FF000000"/>
            <rFont val="Tahoma"/>
            <family val="2"/>
          </rPr>
          <t xml:space="preserve">Brug kolon og ikke punktum.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B11" authorId="0" shapeId="0" xr:uid="{E94C7C11-4E5C-9543-AB41-58AB3EAB4017}">
      <text>
        <r>
          <rPr>
            <b/>
            <sz val="10"/>
            <color rgb="FF000000"/>
            <rFont val="Tahoma"/>
            <family val="2"/>
          </rPr>
          <t>Tove Dohn:</t>
        </r>
        <r>
          <rPr>
            <sz val="10"/>
            <color rgb="FF000000"/>
            <rFont val="Tahoma"/>
            <family val="2"/>
          </rPr>
          <t xml:space="preserve">
</t>
        </r>
        <r>
          <rPr>
            <sz val="10"/>
            <color rgb="FF000000"/>
            <rFont val="Tahoma"/>
            <family val="2"/>
          </rPr>
          <t>Brug kolon - ikke punktum</t>
        </r>
      </text>
    </comment>
    <comment ref="A12" authorId="0" shapeId="0" xr:uid="{E7E2CFCF-6EBE-CE4C-BAC9-8F774F43AA0A}">
      <text>
        <r>
          <rPr>
            <b/>
            <sz val="10"/>
            <color rgb="FF000000"/>
            <rFont val="Tahoma"/>
            <family val="2"/>
          </rPr>
          <t>Tove Dohn:</t>
        </r>
        <r>
          <rPr>
            <sz val="10"/>
            <color rgb="FF000000"/>
            <rFont val="Tahoma"/>
            <family val="2"/>
          </rPr>
          <t xml:space="preserve">
</t>
        </r>
        <r>
          <rPr>
            <sz val="10"/>
            <color rgb="FF000000"/>
            <rFont val="Tahoma"/>
            <family val="2"/>
          </rPr>
          <t xml:space="preserve">Brug kolon og ikke punktum
</t>
        </r>
      </text>
    </comment>
    <comment ref="A13" authorId="0" shapeId="0" xr:uid="{91D34D19-4661-0E47-B183-C7DFF8534A7F}">
      <text>
        <r>
          <rPr>
            <b/>
            <sz val="10"/>
            <color rgb="FF000000"/>
            <rFont val="Tahoma"/>
            <family val="2"/>
          </rPr>
          <t>Tove Dohn:</t>
        </r>
        <r>
          <rPr>
            <sz val="10"/>
            <color rgb="FF000000"/>
            <rFont val="Tahoma"/>
            <family val="2"/>
          </rPr>
          <t xml:space="preserve">
</t>
        </r>
        <r>
          <rPr>
            <sz val="10"/>
            <color rgb="FF000000"/>
            <rFont val="Tahoma"/>
            <family val="2"/>
          </rPr>
          <t xml:space="preserve">Brug kolon og ikke punktum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53" authorId="0" shapeId="0" xr:uid="{C358AED3-3332-EE42-B77E-05FBED7FBDBB}">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53" authorId="0" shapeId="0" xr:uid="{547C6F47-6E45-214D-A653-F90C39751419}">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7" authorId="0" shapeId="0" xr:uid="{9A6814EE-8E6F-024D-828B-661ECDA4500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7" authorId="0" shapeId="0" xr:uid="{F2A8844F-5B56-B440-835B-D9D0BEB71FA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EEB81883-13A1-D74D-B122-E85D252022C3}">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DC4F7CCE-4E6F-E04D-8A84-33FCA7B22B4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7" authorId="0" shapeId="0" xr:uid="{BFFAAFE9-3FF9-204C-872E-1B07F2668C8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7" authorId="0" shapeId="0" xr:uid="{F2E665A6-BAC6-9545-A07F-D5BC6364AE8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F6EC1A2B-EED3-2C4D-BAF0-44CB1E2C9A3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B623893A-F723-9245-A08D-BE72618459FC}">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6FDF3EBB-8DA6-984C-B2B4-7B13E59D673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FC27D285-00DA-6646-800A-061DD8FE0DA9}">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 ref="T49" authorId="0" shapeId="0" xr:uid="{D5E9E531-01F6-0943-B286-71BE0DCEFA94}">
      <text>
        <r>
          <rPr>
            <b/>
            <sz val="10"/>
            <color rgb="FF000000"/>
            <rFont val="Tahoma"/>
            <family val="2"/>
          </rPr>
          <t>Tove Dohn:</t>
        </r>
        <r>
          <rPr>
            <sz val="10"/>
            <color rgb="FF000000"/>
            <rFont val="Tahoma"/>
            <family val="2"/>
          </rPr>
          <t xml:space="preserve">
</t>
        </r>
        <r>
          <rPr>
            <sz val="10"/>
            <color rgb="FF000000"/>
            <rFont val="Calibri"/>
            <family val="2"/>
          </rPr>
          <t xml:space="preserve">Da omsorgsdag/seniordage skal afvikles senest d. 31. december overføres evt. ikke brugte omsorgsdage fra sidste år ikke automatisk. Er der skyldige omsorgsdage der pga. barsel ikke er afholdt tastes disse i celle "R45" I denne celle oplyses de omsorgsdage den ansatte har vedr. det nye år. Det samme gælder hvis seniordage af arbejdsgiver er forhindret i at holde, da overføres disse også.
</t>
        </r>
      </text>
    </comment>
    <comment ref="U49" authorId="0" shapeId="0" xr:uid="{6CDECB54-678C-DD4F-AEA2-BF3DB2808DE4}">
      <text>
        <r>
          <rPr>
            <b/>
            <sz val="10"/>
            <color rgb="FF000000"/>
            <rFont val="Tahoma"/>
            <family val="2"/>
          </rPr>
          <t>Tove Dohn:</t>
        </r>
        <r>
          <rPr>
            <sz val="10"/>
            <color rgb="FF000000"/>
            <rFont val="Tahoma"/>
            <family val="2"/>
          </rPr>
          <t xml:space="preserve">
</t>
        </r>
        <r>
          <rPr>
            <sz val="10"/>
            <color rgb="FF000000"/>
            <rFont val="Calibri"/>
            <family val="2"/>
            <scheme val="minor"/>
          </rPr>
          <t>Ikke afholdte eller planlagte særlige feriedage optjent forrige år og som skal afvikles senest d. 30. april i år, kan pr. 1. januar af ledelsen varsles med 30 dages varsel.</t>
        </r>
        <r>
          <rPr>
            <sz val="10"/>
            <color rgb="FF000000"/>
            <rFont val="Calibri"/>
            <family val="2"/>
            <scheme val="minor"/>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6" authorId="0" shapeId="0" xr:uid="{786F90A3-EE3E-2449-A002-9ECFC5D4ACAE}">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6" authorId="0" shapeId="0" xr:uid="{797353C7-8E73-2F49-B606-22ACFA96D12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BFC56201-F10A-F44B-8558-8B01F96E0C7E}">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b/>
            <sz val="10"/>
            <color rgb="FF000000"/>
            <rFont val="Calibri"/>
            <family val="2"/>
          </rPr>
          <t>Ny seniorbonusordning - fra april 2022</t>
        </r>
        <r>
          <rPr>
            <sz val="10"/>
            <color rgb="FF000000"/>
            <rFont val="Calibri"/>
            <family val="2"/>
          </rPr>
          <t xml:space="preserve">
</t>
        </r>
        <r>
          <rPr>
            <sz val="10"/>
            <color rgb="FF000000"/>
            <rFont val="Calibri"/>
            <family val="2"/>
          </rPr>
          <t xml:space="preserve">
</t>
        </r>
      </text>
    </comment>
    <comment ref="U48" authorId="0" shapeId="0" xr:uid="{D09D95AF-1138-704A-B39A-3DE8704B98A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7" authorId="0" shapeId="0" xr:uid="{CE05CE6B-C4F0-5B45-900E-1F44A56B507B}">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7" authorId="0" shapeId="0" xr:uid="{00AF8ECA-241B-0A4B-8E23-C0EAE188FFF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1A7EF366-4047-8F42-BBF8-36C761C8AFAF}">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156B6ED7-ABE5-2941-9066-C5DD31CB08D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 ref="U49" authorId="0" shapeId="0" xr:uid="{A0476E90-56E9-AB45-9CA0-3CD5AB1DC638}">
      <text>
        <r>
          <rPr>
            <b/>
            <sz val="10"/>
            <color rgb="FF000000"/>
            <rFont val="Tahoma"/>
            <family val="2"/>
          </rPr>
          <t>Tove Dohn:</t>
        </r>
        <r>
          <rPr>
            <sz val="10"/>
            <color rgb="FF000000"/>
            <rFont val="Tahoma"/>
            <family val="2"/>
          </rPr>
          <t xml:space="preserve">
</t>
        </r>
        <r>
          <rPr>
            <sz val="10"/>
            <color rgb="FF000000"/>
            <rFont val="Calibri"/>
            <family val="2"/>
          </rPr>
          <t>Skriv her antal særlige feriedage optjent i sidste kalenderår, og som skal afvikles i perioden 1. maj til 30. april. Der optjenes 0,42 særlige feriedage pr. måneds ansættelse. BEMÆRK optjeningsåret er SIDSTE kalenderår. Er der aftalt særlige feriedage overført fra det afviklingsår der lige er afsluttet tastes disse i celle "S45".</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7" authorId="0" shapeId="0" xr:uid="{83841F1C-1C75-D84F-B1A4-0515C51FCB07}">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7" authorId="0" shapeId="0" xr:uid="{116468AD-4C7E-9545-BBC9-47D95E406F6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EBDC43F0-FF31-004C-ABA8-514CC34A7D9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5F429B5F-8ED9-0445-9CB3-B6D1D678460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J53" authorId="0" shapeId="0" xr:uid="{7891DF6A-D8F3-9140-BF05-802BDAABDAD0}">
      <text>
        <r>
          <rPr>
            <b/>
            <sz val="10"/>
            <color rgb="FF000000"/>
            <rFont val="Tahoma"/>
            <family val="2"/>
          </rPr>
          <t>Tove Dohn:</t>
        </r>
        <r>
          <rPr>
            <sz val="10"/>
            <color rgb="FF000000"/>
            <rFont val="Tahoma"/>
            <family val="2"/>
          </rPr>
          <t xml:space="preserve">
</t>
        </r>
        <r>
          <rPr>
            <sz val="10"/>
            <color rgb="FF000000"/>
            <rFont val="Calibri"/>
            <family val="2"/>
          </rPr>
          <t xml:space="preserve">Funktionen "Målsøgning" kan anvendes hvis der er tvivl om feks. beskæftigelsesgrad. Kender man ikke den korrekte beskæftigelsesgrad, men kender opgaverne, kan man efter at have udfyldt hele værktøjet lave en målsøgning på de resttimer der ikke går i nul. Dette gøres ved at stille markøren i celle "J48". Vælge i båndet øverst "målsøgning". Målsøgning findes i enten "formater eller data". Vælg målsøgning eller what/if. 
</t>
        </r>
        <r>
          <rPr>
            <sz val="10"/>
            <color rgb="FF000000"/>
            <rFont val="Calibri"/>
            <family val="2"/>
          </rPr>
          <t xml:space="preserve">I funktionen målsøgning står: angiv celle: her er cellen du står i nævnt: Celle J48. 
</t>
        </r>
        <r>
          <rPr>
            <sz val="10"/>
            <color rgb="FF000000"/>
            <rFont val="Calibri"/>
            <family val="2"/>
          </rPr>
          <t xml:space="preserve">Til værdi: vælg her værdien 0.
</t>
        </r>
        <r>
          <rPr>
            <sz val="10"/>
            <color rgb="FF000000"/>
            <rFont val="Calibri"/>
            <family val="2"/>
          </rPr>
          <t xml:space="preserve">Ved ændring af celle: gå i fanen "stamoplysniger", stil markøren på celle E16, der er cellen der definere beskæftigelsesgraden. Vælg "OK". Målsøgningen på resttiden der skal give nul ved at ændre på beskæftigelsesgraden sker nu. Vælg "OK", og se i fanen "stamoplysninger" hvilken beskæftigelsesgrad der passer til arbejdstiden.
</t>
        </r>
      </text>
    </comment>
  </commentList>
</comments>
</file>

<file path=xl/sharedStrings.xml><?xml version="1.0" encoding="utf-8"?>
<sst xmlns="http://schemas.openxmlformats.org/spreadsheetml/2006/main" count="5043" uniqueCount="500">
  <si>
    <t>Opgaveoversigt</t>
  </si>
  <si>
    <t>Skolens navn</t>
  </si>
  <si>
    <t>lærerens navn</t>
  </si>
  <si>
    <t>vedr. skoleåret</t>
  </si>
  <si>
    <t>Skriv kun i de gule felter</t>
  </si>
  <si>
    <t>Dansk</t>
  </si>
  <si>
    <t>Matematik</t>
  </si>
  <si>
    <t>Musik</t>
  </si>
  <si>
    <t>Engelsk</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</si>
  <si>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</si>
  <si>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</si>
  <si>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</si>
  <si>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</si>
  <si>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</si>
  <si>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</si>
  <si>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</si>
  <si>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</si>
  <si>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</si>
  <si>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</si>
  <si>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</si>
  <si>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</si>
  <si>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</si>
  <si>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</si>
  <si>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Periodens samlede arbejdstid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</si>
  <si>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</si>
  <si>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</si>
  <si>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</si>
  <si>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</si>
  <si>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</si>
  <si>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</si>
  <si>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</si>
  <si>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</si>
  <si>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</si>
  <si>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</si>
  <si>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</si>
  <si>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</si>
  <si>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</si>
  <si>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</si>
  <si>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</si>
  <si>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</si>
  <si>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</si>
  <si>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</si>
  <si>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</si>
  <si>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</si>
  <si>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</si>
  <si>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</si>
  <si>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</si>
  <si>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</si>
  <si>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</si>
  <si>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</si>
  <si>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</si>
  <si>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</si>
  <si>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</si>
  <si>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</si>
  <si>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</si>
  <si>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Kl. Fra:</t>
  </si>
  <si>
    <t>Kl. Til:</t>
  </si>
  <si>
    <t>Arbejdstidsoversigt for skoleåret:</t>
  </si>
  <si>
    <t>AUGUST</t>
  </si>
  <si>
    <t>SEPTEMBER</t>
  </si>
  <si>
    <t>OKTOBER</t>
  </si>
  <si>
    <t>NOVEMBER</t>
  </si>
  <si>
    <t>DECEMBER</t>
  </si>
  <si>
    <t>JANUAR</t>
  </si>
  <si>
    <t>2. juledag</t>
  </si>
  <si>
    <t>FEBRUAR</t>
  </si>
  <si>
    <t>MARTS</t>
  </si>
  <si>
    <t>APRIL</t>
  </si>
  <si>
    <t>MAJ</t>
  </si>
  <si>
    <t>JUNI</t>
  </si>
  <si>
    <t>JULI</t>
  </si>
  <si>
    <t>Skærtorsdag</t>
  </si>
  <si>
    <t>SÆRLIGE FERIEDAGE</t>
  </si>
  <si>
    <t>I alt</t>
  </si>
  <si>
    <t>Påskedag</t>
  </si>
  <si>
    <t xml:space="preserve"> arbejdsdage</t>
  </si>
  <si>
    <t>SH-dag</t>
  </si>
  <si>
    <t>Weekend</t>
  </si>
  <si>
    <t>Nul-dag</t>
  </si>
  <si>
    <t>Nytårsaftensdag</t>
  </si>
  <si>
    <t>Juleaftensdag</t>
  </si>
  <si>
    <t>FERIE(I kalenderen angivet med grønt)</t>
  </si>
  <si>
    <t>Ekskursion</t>
  </si>
  <si>
    <t>Pæd.dag</t>
  </si>
  <si>
    <t>Nytårsdag</t>
  </si>
  <si>
    <t/>
  </si>
  <si>
    <t>Weekenddage i alt:</t>
  </si>
  <si>
    <t>Søgne/helligdage i alt:</t>
  </si>
  <si>
    <t>Kalenderdage i alt</t>
  </si>
  <si>
    <t>Feriedage i  alt:</t>
  </si>
  <si>
    <t>0-dage i alt:</t>
  </si>
  <si>
    <t>on</t>
  </si>
  <si>
    <t>lø</t>
  </si>
  <si>
    <t>ma</t>
  </si>
  <si>
    <t>to</t>
  </si>
  <si>
    <t>ti</t>
  </si>
  <si>
    <t>fr</t>
  </si>
  <si>
    <t>sø</t>
  </si>
  <si>
    <t>Ikke relevant</t>
  </si>
  <si>
    <t>I alt for normperioden</t>
  </si>
  <si>
    <t>Ikke relevante dage</t>
  </si>
  <si>
    <t>Langfredag</t>
  </si>
  <si>
    <t>Palmesøndag</t>
  </si>
  <si>
    <t>Pinsedag</t>
  </si>
  <si>
    <t>Ja</t>
  </si>
  <si>
    <t>Nej</t>
  </si>
  <si>
    <t>Skema 1</t>
  </si>
  <si>
    <t>Skema 3</t>
  </si>
  <si>
    <t>Skema 4</t>
  </si>
  <si>
    <t>Feriedag</t>
  </si>
  <si>
    <t>Total skema 1 i klokketimer</t>
  </si>
  <si>
    <t>Planlagt arbejdstid</t>
  </si>
  <si>
    <t>Normperiodens arbejdstid</t>
  </si>
  <si>
    <t>Grundlovsdag</t>
  </si>
  <si>
    <t>Skemaet dækker perioden:</t>
  </si>
  <si>
    <t>Timer</t>
  </si>
  <si>
    <t>Angiv mdr. opgaven løses i</t>
  </si>
  <si>
    <t>August</t>
  </si>
  <si>
    <t>Estimeret tid</t>
  </si>
  <si>
    <t>September</t>
  </si>
  <si>
    <t>Oktober</t>
  </si>
  <si>
    <t>November</t>
  </si>
  <si>
    <t>Antal mulige arb.dage</t>
  </si>
  <si>
    <t>Tid i alt der planlægges senere på året</t>
  </si>
  <si>
    <t>Antal dage tages pt. fra mdr. kalenderen</t>
  </si>
  <si>
    <t>Pause/tilsynstid fagdage/emnedage</t>
  </si>
  <si>
    <t>Dage</t>
  </si>
  <si>
    <t>Sammentælling af timer</t>
  </si>
  <si>
    <t>Evt. ændringer i arbejdstiden</t>
  </si>
  <si>
    <t>Evt. ændringer i undervisningstid</t>
  </si>
  <si>
    <t>December</t>
  </si>
  <si>
    <t>Januar</t>
  </si>
  <si>
    <t>Februar</t>
  </si>
  <si>
    <t>Marts</t>
  </si>
  <si>
    <t>April</t>
  </si>
  <si>
    <t>Maj</t>
  </si>
  <si>
    <t>Juni</t>
  </si>
  <si>
    <t>Juli</t>
  </si>
  <si>
    <t>Arbejdsdage på weekenddage</t>
  </si>
  <si>
    <t>Opgaver der placeres senere på året:</t>
  </si>
  <si>
    <t>SKJUL</t>
  </si>
  <si>
    <t>Nettoarbejdstid</t>
  </si>
  <si>
    <t>Ændring i arbejdstid</t>
  </si>
  <si>
    <t>Forklarende tekst til udfyldelse af kalenderen</t>
  </si>
  <si>
    <t>Skriv en tekst der beskriver dagen bedst muligt.</t>
  </si>
  <si>
    <t>Juledag</t>
  </si>
  <si>
    <t>Arbejde på hverdage fra 17:00 - 06:00</t>
  </si>
  <si>
    <t>OBS: Der skal kun angives tal i gule felter. Hvis tal i de lysegrå felter skal disse slettes.</t>
  </si>
  <si>
    <t>Dato format dd.mm.åååå</t>
  </si>
  <si>
    <t>Arbejdstiden fordeler sig således:</t>
  </si>
  <si>
    <t>Oversigt over den planlagte arbejdstid.</t>
  </si>
  <si>
    <t>Undertid</t>
  </si>
  <si>
    <t>Merarbejde/Overarbejde</t>
  </si>
  <si>
    <t>Øvrige opgaver</t>
  </si>
  <si>
    <t>Arbejdstid</t>
  </si>
  <si>
    <t>PLANLÆGNING FOR EN DEL AF ET SKOLEÅR.</t>
  </si>
  <si>
    <t>OPGØRELSE AF EN DELPERIODE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</si>
  <si>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</si>
  <si>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</si>
  <si>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</si>
  <si>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</si>
  <si>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</si>
  <si>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</si>
  <si>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</si>
  <si>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</si>
  <si>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 xml:space="preserve">I alt </t>
  </si>
  <si>
    <t>Overtid</t>
  </si>
  <si>
    <t>Aug. - Okt.</t>
  </si>
  <si>
    <t>Nov. - Jan.</t>
  </si>
  <si>
    <t>Maj - Jul.</t>
  </si>
  <si>
    <t>Feb. - Apr.</t>
  </si>
  <si>
    <t>Opgørelse for november, december og januar</t>
  </si>
  <si>
    <t>Opgørelse for august, september og oktober</t>
  </si>
  <si>
    <t>Oplys ændringen i arbejdstimer på hverdage imellem kl. 17-06. Ekstra timer tastes som et postivt tal. Færre timer tastes som et negativt tal.</t>
  </si>
  <si>
    <t>Ændring i arbejdstimer på hverdage imellem 17-06</t>
  </si>
  <si>
    <r>
      <t xml:space="preserve">Opgørelse total for normperioden </t>
    </r>
    <r>
      <rPr>
        <sz val="12"/>
        <color theme="0"/>
        <rFont val="Calibri (Tekst)"/>
      </rPr>
      <t>(negativ tal = undertid, positiv tal = merarbejde/overarbejde)</t>
    </r>
  </si>
  <si>
    <t>Orlov</t>
  </si>
  <si>
    <t>Orlovstimer</t>
  </si>
  <si>
    <t>Orlovsdage</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</si>
  <si>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</si>
  <si>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</si>
  <si>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</si>
  <si>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</si>
  <si>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</si>
  <si>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Oplys her planlagte arbejdstimer imellem 17-06 timer. Tast kun hvis feltet er gult.</t>
  </si>
  <si>
    <t>Beskæftigelsesgrad (hvis 100% skrives 1, hvis 80% skrives 0,8):</t>
  </si>
  <si>
    <t>Kalendere sidst i værktøjet</t>
  </si>
  <si>
    <t>Ved månedens start er der antal skyldige:</t>
  </si>
  <si>
    <t>Oplys antal afholdte dage</t>
  </si>
  <si>
    <t>Rest antal dage (videreføres til næste måned)</t>
  </si>
  <si>
    <t>Oplys evt. ny tilførte dage eller antal skyldige dage ved nyansættelse:</t>
  </si>
  <si>
    <t>Hvis begge arrangementer</t>
  </si>
  <si>
    <t>Hvis kun dag</t>
  </si>
  <si>
    <t>Hvis kun aften</t>
  </si>
  <si>
    <t>ARBEJDSTID:</t>
  </si>
  <si>
    <t>SÆRLIE FERIEDAGE</t>
  </si>
  <si>
    <t>Særlige feriedage primo</t>
  </si>
  <si>
    <t>Særlige feriedage afholdt</t>
  </si>
  <si>
    <t>Særlige feriedage rest</t>
  </si>
  <si>
    <t xml:space="preserve">Særlige feriedage  </t>
  </si>
  <si>
    <t>OPGØRELSE AF ARBEJDSTIDEN</t>
  </si>
  <si>
    <t>Særlig feriedag</t>
  </si>
  <si>
    <t>Ikke afholdte særlige feriedage udbetales pr. 30. april, eller aftales skriftlig ovf. til næste ferieafholdelsesår.</t>
  </si>
  <si>
    <t>Antal arbejdstimer på hverdage imellem 17-06 (eks. 2 timer og 15 minutter tastes som 2,25)</t>
  </si>
  <si>
    <t>Normal uge 2</t>
  </si>
  <si>
    <t>Normal uge 3</t>
  </si>
  <si>
    <t>Normal uge 4</t>
  </si>
  <si>
    <t>Skemaet dækker evt. periode:</t>
  </si>
  <si>
    <t>Andre opgavertid ifølge skema</t>
  </si>
  <si>
    <t>Skole/institution</t>
  </si>
  <si>
    <t>Hvis ja - tæller årsnormen efter kalenderne - eksakt optælling</t>
  </si>
  <si>
    <t>Hvilken overenskomst er den ansatte omfattet af:</t>
  </si>
  <si>
    <t>HK</t>
  </si>
  <si>
    <t>3F</t>
  </si>
  <si>
    <t>Hvis BUPL så eksakt optælling.</t>
  </si>
  <si>
    <t>Ved ansatte uden overenskomst, oplyses her den faste årsnorm:</t>
  </si>
  <si>
    <t>Hvis HK: og der er tale om et helt skoleår - der er ikke brugt ikke relevante dage = 1924- ellers eksakt optælling</t>
  </si>
  <si>
    <t>Normal uge 1</t>
  </si>
  <si>
    <t>Rul 1</t>
  </si>
  <si>
    <t>Rul 2</t>
  </si>
  <si>
    <t>Rul 3</t>
  </si>
  <si>
    <t>Rul 4</t>
  </si>
  <si>
    <t>Rul 5</t>
  </si>
  <si>
    <t>Rul 6</t>
  </si>
  <si>
    <t>Kerneopgaver</t>
  </si>
  <si>
    <t>Dagen starter kl.</t>
  </si>
  <si>
    <t>Kerneopgaver ifølge skema</t>
  </si>
  <si>
    <t>Koloni</t>
  </si>
  <si>
    <t>Anderledes dag</t>
  </si>
  <si>
    <t>Kerneopgaver - Normal uge 1</t>
  </si>
  <si>
    <t>Planlagt tid til kerneopgaver i tidsrummet 06:00 - 17:00</t>
  </si>
  <si>
    <t>Planlagt tid til andre opgaver i tidsrummet 06:00 - 17:00</t>
  </si>
  <si>
    <t>Kerneoopgaver Normal uge 2</t>
  </si>
  <si>
    <t>Kerneopgaver Normal uge 3</t>
  </si>
  <si>
    <t>Kerneopgaver Normal uge 4</t>
  </si>
  <si>
    <t>Øvrige opgaver på særlige dage</t>
  </si>
  <si>
    <t>Øvrige opgaver på normale uger</t>
  </si>
  <si>
    <t>Kerneopgaver skema 1</t>
  </si>
  <si>
    <t xml:space="preserve">Kerneopgaver  </t>
  </si>
  <si>
    <t>Total kernetid</t>
  </si>
  <si>
    <t>Total øvrig tid</t>
  </si>
  <si>
    <t>Ændring i planlagte kerneopgaver imellem 06:00 - 17:00</t>
  </si>
  <si>
    <t>Planlægges der for et helt skoleår:</t>
  </si>
  <si>
    <t>- Timeforbrug på planlagte kerneopgaver</t>
  </si>
  <si>
    <t>- Timeforbrug på øvrige opgaver</t>
  </si>
  <si>
    <t>- Arbejdstid fra 17-06</t>
  </si>
  <si>
    <t>Kan bruges til placering af opgaver der endnu ikke er deffineret</t>
  </si>
  <si>
    <t>Dette er valgt</t>
  </si>
  <si>
    <t>Ændringer i arbejdstiden</t>
  </si>
  <si>
    <t>Vælg dagene med piletasten. Hvis en måned er "ikke relevant" kan man efter at have valgt "ikke relevant" for månedes første dag (evt. de to første dage), trække valget ned gennem hele måneden ved at "trække" i den lille markør i cellens/cellernes nederste højre hjørne.</t>
  </si>
  <si>
    <t>Aktiviteter fra 6:00 - 17:00. Beskrivelse af dagen</t>
  </si>
  <si>
    <t>Beskrivelse af møder og arrangementer på hverdage i tidsrummet 17-06.</t>
  </si>
  <si>
    <t>Møder og arrangementer i tidsrummet 17-06</t>
  </si>
  <si>
    <t xml:space="preserve">Vælg "x" hvis ændring i andre opgaver i forhold til kolonne "L". </t>
  </si>
  <si>
    <t>Vælg "x" hvis ændring i arbejdstiden på hverdage imellem kl. 17-06 i forhold til kolonne "M".</t>
  </si>
  <si>
    <t>Oplys ændring i arbejdstiden vedr. kerneopgaver. Ekstra timer tastes som et postivt tal. Færre timer tastes som et negativt tal.</t>
  </si>
  <si>
    <t>Ændring i den planlagte arbejdstid</t>
  </si>
  <si>
    <r>
      <t>Særlige feriedage</t>
    </r>
    <r>
      <rPr>
        <sz val="8"/>
        <rFont val="Arial"/>
        <family val="2"/>
      </rPr>
      <t xml:space="preserve"> (også kaledet 6. ferieuge, feriefridage)</t>
    </r>
  </si>
  <si>
    <t>Antal timer til andre opgaver (eks. 1 timer og 30 minutter tastes som 1,50)</t>
  </si>
  <si>
    <t>Antal timer til kerneopgaver. (eks. 7 timer og 15 minutter tastes som 7,25)</t>
  </si>
  <si>
    <t>Ændring i planlagte andre opgaver imellem 06:00 - 17:00</t>
  </si>
  <si>
    <t>Ændring i arbejdstid vedr. kerneopgave i forhold til kolonne "K"</t>
  </si>
  <si>
    <t>Ændring i arbejdstid vedr. andre opgaver i forhold til kolonne "L"</t>
  </si>
  <si>
    <t>Ændring i antal timer på hverdage imellem kl. 17-06 i forhold til kolonne "M"</t>
  </si>
  <si>
    <r>
      <t xml:space="preserve">Ved månedens start er der antal skyldige dage: </t>
    </r>
    <r>
      <rPr>
        <sz val="16"/>
        <rFont val="Arial"/>
        <family val="2"/>
      </rPr>
      <t>Bemærk at et nyt afholdelsesår vedr. de særlige feriedage er startet. Læs noten.</t>
    </r>
  </si>
  <si>
    <t>Oplys hvis tilskrevet dage eller hvis den ansatte er startet denne mdr. Tast også her evt. ovf. særlige feriedage fra sidste år (Kræver en skriftlig aftale).</t>
  </si>
  <si>
    <t>Antal kalenderdage minus antal lørdage søndage</t>
  </si>
  <si>
    <t>2. Påskedag</t>
  </si>
  <si>
    <t>Kr. Himmelfartsdag</t>
  </si>
  <si>
    <t>2. Pinsedag</t>
  </si>
  <si>
    <t>Arbedstid eks. lørdage og søndage</t>
  </si>
  <si>
    <t>Puljeopgaver</t>
  </si>
  <si>
    <t>Oplys antal timer brugt til puljeopgaver listet i fanen "arbejdstidsoversigt"</t>
  </si>
  <si>
    <t>Puljetimer</t>
  </si>
  <si>
    <t>Forbrug af timer til puljeopgaver</t>
  </si>
  <si>
    <t>List her pulejopgaven</t>
  </si>
  <si>
    <t>Antal timer forbrugt til puljeopgaven</t>
  </si>
  <si>
    <t>Dato og evt. tekst</t>
  </si>
  <si>
    <t>Estimeret timer</t>
  </si>
  <si>
    <t>Aftalt via lokalaftale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</si>
  <si>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overenskomst (se tekst herunder), planlægges der for et helt skoleår eller ikke og beskæftigelsesgrad.</t>
    </r>
  </si>
  <si>
    <t>Normperiodens søgne/helligdage (Ikke relevant for ansatte uden overenskomst ansat på fast årsnorm)</t>
  </si>
  <si>
    <t>Normperiodens feriedage (ikke relevant for ansatte uden overenskomst ansat på fast årsnorm)</t>
  </si>
  <si>
    <t>Ikke omfattet af overenskomst - ansat med en variabel årsnorm</t>
  </si>
  <si>
    <t>Ikke omfattet af overenskomst - ansat med en fast årsnorm</t>
  </si>
  <si>
    <t>Gå nu til fanen "Normal uger"</t>
  </si>
  <si>
    <t>List her "andre opgaver" der planlægges i særlige måneder inden for tidsrummet 06:00 - 17:00. i til opgaven.</t>
  </si>
  <si>
    <t>Opgaverne er i tidsrummet 06:00 - 17:00</t>
  </si>
  <si>
    <t>Planlægges der med rullende dage, udfyldes fanen "Rul". Hvis ikke - udfyldes nu hver måned i normperioden(august - juli). Det er vigtigt at de dage/måneder hvor den ikke er ansat - vælges som "Ikke relevante".</t>
  </si>
  <si>
    <t>Udfyld nu hver måned i normperioden. Det er vigtigt at de dage/måneder hvor den ansatte evt. ikke er ansat, vælges som "Ikke relevante".</t>
  </si>
  <si>
    <r>
      <t xml:space="preserve">Arbejdstid imellem kl. 17-06 </t>
    </r>
    <r>
      <rPr>
        <sz val="14"/>
        <color theme="4" tint="-0.499984740745262"/>
        <rFont val="Calibri"/>
        <family val="2"/>
        <scheme val="minor"/>
      </rPr>
      <t>beskrives i kolonne "H". Antal timer oplyses i den gule celle i kolonne "M". Vær OBS på om der for disse timer skal betales et arbejdsbestemt tillæg.</t>
    </r>
  </si>
  <si>
    <r>
      <t xml:space="preserve">Ændring i arbejdstiden: </t>
    </r>
    <r>
      <rPr>
        <sz val="14"/>
        <color theme="4" tint="-0.499984740745262"/>
        <rFont val="Calibri"/>
        <family val="2"/>
        <scheme val="minor"/>
      </rPr>
      <t xml:space="preserve">Sker der efter normperiodens start ændring i arbejdstiden tastes disse i kolonne "P - U". Vedrører ændringen en kerneopgave vælges et kryds den enkelte dag i kolonne "P". Herefter tastes ændringen i forhold til den planlagte tid i den gule celle i kolonne "S". Vedrører ændringen en anden opgave, vælges et kryds i kolonne "Q". Ændringen i forhold til den planlagte tid tastes derefter i den gule celle i kolonne "T". Er der sket en ændring i den planlagte arbejdstid imellem kl. 17-06 vælges et kryds i kolonne "R". Ændringen i forhold til den planlagte tid tastes i kolonne "U". Ved ændringer man være OBS på om der er arbejdstidsbestemt tillæg eller regler der skal følges afhængig af overenskomsten. </t>
    </r>
  </si>
  <si>
    <r>
      <t xml:space="preserve">Opgørelse af arbejdstiden pr. måned. </t>
    </r>
    <r>
      <rPr>
        <sz val="14"/>
        <color theme="4" tint="-0.499984740745262"/>
        <rFont val="Calibri"/>
        <family val="2"/>
        <scheme val="minor"/>
      </rPr>
      <t xml:space="preserve">Under hver måned er der en opgørelse pr. måned. Opgørelsen viser månedens normtimetal, hvor mange timer den ansatte er planlagt med og evt. ændringer til arbejdstiden. Timerne og opgørelsen er samlet for alle normperiodens måneder i fanen *"opgørelse". </t>
    </r>
  </si>
  <si>
    <t>Tiden til kerneopgaver og øvrige opgaver overføres fra kolonne "I" og "J" eller hvis det er en "normalugedag/rullende dag" overføres arbejdstiden fra fanerne "normale uger" og "Rul".</t>
  </si>
  <si>
    <t xml:space="preserve">Vælg "x" hvis ændring i kerneopgaver i forhold til kolonne "K". </t>
  </si>
  <si>
    <t>Oplys ændringen i arbejdstiden vedr. andre opgaver. Ekstra timer tastes som et postivt tal. Færre timer tastes som et negativt tal.</t>
  </si>
  <si>
    <t>Antal præsterede timer til puljeopgaven.</t>
  </si>
  <si>
    <t>Oplys antal præsterede timer til puljeopgaver listet i fanen "arbejdstidsoversigt"</t>
  </si>
  <si>
    <r>
      <t xml:space="preserve">Næste skridt: </t>
    </r>
    <r>
      <rPr>
        <sz val="14"/>
        <color theme="4" tint="-0.499984740745262"/>
        <rFont val="Calibri"/>
        <family val="2"/>
        <scheme val="minor"/>
      </rPr>
      <t xml:space="preserve">Fanen "Arbejdstidsoversigt". Her samles alle månedernes timer. I fanen er det muligt at tildele puljetimer. </t>
    </r>
  </si>
  <si>
    <t>Læs hvordan fanerne august til juli måned udfyldes øverst i fanen "august måned".</t>
  </si>
  <si>
    <t>Puljeopgaver og endelig opgørelse</t>
  </si>
  <si>
    <t>Opgaver der løses i særlige måneder - se liste i skema 4</t>
  </si>
  <si>
    <t>Måned:</t>
  </si>
  <si>
    <t>arbejdstid for det pædagogiske, tekniske og administrative personale</t>
  </si>
  <si>
    <t>Som hjælp til planlægning og opgørelse af det pædagogiske, tekniske og administrative personales arbejdstid har Friskolerne Hus udarbejdet dette værktøj.</t>
  </si>
  <si>
    <t>Arbejdstiden planlægges i fanerne: Stamoplysninger, normal uger, rul, august - juli og arbejdstidsoversigt.</t>
  </si>
  <si>
    <t>Fanerne: Stamoplysninger, normal uger, rul, august - juli samt arbejdstidsoversigt er øverst makeret med en blå pil og en tekst der beskriver hvad man skal oplyse i den enkelte fane.</t>
  </si>
  <si>
    <t>Nederst i fanerne: Stamoplysninger, normal uger, rul er beskrevet hvad næste "step" er (Markert med blå pil).</t>
  </si>
  <si>
    <r>
      <rPr>
        <b/>
        <sz val="14"/>
        <color theme="4" tint="-0.499984740745262"/>
        <rFont val="Calibri (Tekst)"/>
      </rPr>
      <t>STAMOPLYSNINGER</t>
    </r>
    <r>
      <rPr>
        <sz val="14"/>
        <color theme="4" tint="-0.499984740745262"/>
        <rFont val="Calibri"/>
        <family val="2"/>
        <scheme val="minor"/>
      </rPr>
      <t xml:space="preserve">: </t>
    </r>
    <r>
      <rPr>
        <sz val="12"/>
        <color theme="1"/>
        <rFont val="Arial"/>
        <family val="2"/>
      </rPr>
      <t>Her angives oplysninger om den ansatte. Herunder om skolen har tiltrådt overenskomst og hvis - hvilken. Har skolen ikke tiltrådt overenskomst oplyses om den ansatte er ansat med en variabel årsnorm eller en fast årsnorm. Er man ansat uden overenskomst og med en fast årsnorm oplyses årsnormens timetal.</t>
    </r>
  </si>
  <si>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at oplyse evt. brug af puljetimer og ændringer af den planlagte arbejdstid. VIGTIGT: der er i række 5 en beskrivelse af de enkelte kolonner. LÆS disse!</t>
    </r>
  </si>
  <si>
    <r>
      <rPr>
        <b/>
        <sz val="12"/>
        <color theme="4" tint="-0.499984740745262"/>
        <rFont val="Arial"/>
        <family val="2"/>
      </rPr>
      <t xml:space="preserve">VALG AF DAGE: </t>
    </r>
    <r>
      <rPr>
        <sz val="12"/>
        <color theme="1"/>
        <rFont val="Arial"/>
        <family val="2"/>
      </rPr>
      <t>Nederst på denne fane er listet de dage en normperiode kan byde på, og som skal vælges i månedskalenderne.</t>
    </r>
  </si>
  <si>
    <t>De hvide kolonner: P, Q og R er kolonner hvor der evt. skal træffes et valg med "X".</t>
  </si>
  <si>
    <t xml:space="preserve">De lysegrå kolonner: "I, J, M, O, S, T og U". Her er det VIGTIGT der kun står tal hvis cellen er gul. </t>
  </si>
  <si>
    <t>Planlægges der ikke for et helt skoleår men for en delperiode, gøres de dage der ikke planlægges med "ikke relevante". TIPS: Ikke relevante dage kan kopieres ned i en hel måned ved først at vælge den første dag som "Ikke relevant" (evt. de to første dage) og dernæst at "trække" i cellens nederste højre hjørne - ned i månedens kolonne. HUSK i fanen "stamoplysninger" at oplyse at der ikke planlægges for et helt skoleår. Det er vigtigt det er alle dage (også lørdage og søndage) der vælges som ikke relevante i de dage og måneder den ansatte ikke er ansat.</t>
  </si>
  <si>
    <t>Normal uge 1 dage i alt</t>
  </si>
  <si>
    <t>Normal uge 2 dage i alt</t>
  </si>
  <si>
    <t>Normal uge 3 dage i alt</t>
  </si>
  <si>
    <t>Normal uge 4 dage i alt</t>
  </si>
  <si>
    <t>Anderledes dage i alt</t>
  </si>
  <si>
    <t>Feriepasningsdage i alt</t>
  </si>
  <si>
    <t>Kolonidage i alt</t>
  </si>
  <si>
    <t>Ekskursionsdage i alt</t>
  </si>
  <si>
    <t>Pædagogiske dage i alt</t>
  </si>
  <si>
    <t>Rul 1 dage i alt</t>
  </si>
  <si>
    <t>Rul 2 dage i alt</t>
  </si>
  <si>
    <t>Rul 3 dage i alt</t>
  </si>
  <si>
    <t>Rul 4 dage i alt</t>
  </si>
  <si>
    <t>Rul 5 dage i alt</t>
  </si>
  <si>
    <t>Rul 6 dage i alt</t>
  </si>
  <si>
    <t>Ferielovens regler gælder</t>
  </si>
  <si>
    <t>Hovedferien bestående af 3 sammenhængende uger skal afvikles i hovedferieperioden 1. maj til 30. september. Hovedferie skal varsles med mindst 3 mdr. Efter individuel aftale kan hovedferieperioden aftales anderledes , dog kan der ikke aftales mindre end 2 sammenhængende uger.</t>
  </si>
  <si>
    <t>Restferie på 2 uger skal varsles med mindst 1 mdr. Restferie skal afholdes som 5 sammenhængede dage. Kan dog efter aftale afholdes som enkeltdage.</t>
  </si>
  <si>
    <r>
      <rPr>
        <b/>
        <sz val="12"/>
        <rFont val="Arial"/>
        <family val="2"/>
      </rPr>
      <t>Søgnehelligdage</t>
    </r>
    <r>
      <rPr>
        <sz val="12"/>
        <rFont val="Arial"/>
        <family val="2"/>
      </rPr>
      <t xml:space="preserve">: I skoleåret er der 8 søgnehelligdage. Disse dage er helligdage, der IKKE falder på en lørdag eller søndag. </t>
    </r>
  </si>
  <si>
    <r>
      <t xml:space="preserve">Weekenddage: </t>
    </r>
    <r>
      <rPr>
        <i/>
        <sz val="12"/>
        <color theme="1"/>
        <rFont val="Arial"/>
        <family val="2"/>
      </rPr>
      <t>I skoleåret er der 104 weekenddage.</t>
    </r>
  </si>
  <si>
    <r>
      <rPr>
        <b/>
        <sz val="12"/>
        <rFont val="Arial"/>
        <family val="2"/>
      </rPr>
      <t>Anderledes dage</t>
    </r>
    <r>
      <rPr>
        <sz val="12"/>
        <rFont val="Arial"/>
        <family val="2"/>
      </rPr>
      <t xml:space="preserve"> er dage der af den ene eller anden årsag tæller anderledes end de normale og rullende dage. Timerne på de anderledes dage oplyses i de gule celler i de 12 måneder. De anderledes dage  kan planlægges med kerneopgaver og andre opgaver.</t>
    </r>
  </si>
  <si>
    <r>
      <t xml:space="preserve">Normal uge 1: </t>
    </r>
    <r>
      <rPr>
        <sz val="12"/>
        <rFont val="Arial"/>
        <family val="2"/>
      </rPr>
      <t>Normaluge 1 til 4 er de dage og uger skoleåret tælle flest af. Normaluge 1 kan feks. benyttes fra august og hen i forårsperioden hvor daginstitutionen sender førskolebørnene over i skole. Sker dette pr. 1. april, kan daginstitutionen planlægge dagene fra 1. april til normperioden slut som normal uge 2. Der er i alt mulighed for at planlægge med fire normale uger.</t>
    </r>
    <r>
      <rPr>
        <b/>
        <sz val="12"/>
        <rFont val="Arial"/>
        <family val="2"/>
      </rPr>
      <t xml:space="preserve"> </t>
    </r>
    <r>
      <rPr>
        <sz val="12"/>
        <rFont val="Arial"/>
        <family val="2"/>
      </rPr>
      <t>Opgaverne på normal uge 1-4 planlægges i fanen "normal uger". Normal uger kan planlægges med kerneopgaver og andre opgaver.</t>
    </r>
    <r>
      <rPr>
        <b/>
        <sz val="12"/>
        <rFont val="Arial"/>
        <family val="2"/>
      </rPr>
      <t xml:space="preserve"> </t>
    </r>
    <r>
      <rPr>
        <sz val="12"/>
        <rFont val="Arial"/>
        <family val="2"/>
      </rPr>
      <t>Timerne normal uge 1-4 planlægges med i fanen "normal uger" overføres automatisk til de 12 måneder.</t>
    </r>
  </si>
  <si>
    <r>
      <t xml:space="preserve">Normal uge 2: </t>
    </r>
    <r>
      <rPr>
        <sz val="12"/>
        <rFont val="Arial"/>
        <family val="2"/>
      </rPr>
      <t>Se normal uge 1</t>
    </r>
  </si>
  <si>
    <r>
      <t xml:space="preserve">Normal uge 4: </t>
    </r>
    <r>
      <rPr>
        <sz val="12"/>
        <color theme="0"/>
        <rFont val="Arial"/>
        <family val="2"/>
      </rPr>
      <t>Se normal uge 1</t>
    </r>
  </si>
  <si>
    <r>
      <t xml:space="preserve">Normal uge 3: </t>
    </r>
    <r>
      <rPr>
        <sz val="12"/>
        <color theme="0"/>
        <rFont val="Arial"/>
        <family val="2"/>
      </rPr>
      <t>Se normal uge 1</t>
    </r>
  </si>
  <si>
    <r>
      <rPr>
        <b/>
        <sz val="12"/>
        <rFont val="Arial"/>
        <family val="2"/>
      </rPr>
      <t xml:space="preserve">Rul 1 </t>
    </r>
    <r>
      <rPr>
        <sz val="12"/>
        <rFont val="Arial"/>
        <family val="2"/>
      </rPr>
      <t>er dage der fast ligger i et rul. De rullende dage bruges oftest i daginstitutioner - en dag om ugen, hvor det pædagogiske personale skiftes til at møde og gå tidligt/sent. De rullende dage planlægges i fanen "Rul". De rullende dage kan planlægges med kerneopgaver og andre opgaver. Timerne der planlægges i fanen "rul" overføres automatisk til de 12 måneder. Der er i værktøjet mulighed for at planlægge med 6 forskellige rullende dage.</t>
    </r>
  </si>
  <si>
    <r>
      <rPr>
        <b/>
        <sz val="12"/>
        <rFont val="Arial"/>
        <family val="2"/>
      </rPr>
      <t>Rul 2:</t>
    </r>
    <r>
      <rPr>
        <sz val="12"/>
        <rFont val="Arial"/>
        <family val="2"/>
      </rPr>
      <t xml:space="preserve"> Se rul 1</t>
    </r>
  </si>
  <si>
    <r>
      <rPr>
        <b/>
        <sz val="12"/>
        <rFont val="Arial"/>
        <family val="2"/>
      </rPr>
      <t>Rul 3:</t>
    </r>
    <r>
      <rPr>
        <sz val="12"/>
        <rFont val="Arial"/>
        <family val="2"/>
      </rPr>
      <t xml:space="preserve"> Se rul 1</t>
    </r>
  </si>
  <si>
    <r>
      <rPr>
        <b/>
        <sz val="12"/>
        <rFont val="Arial"/>
        <family val="2"/>
      </rPr>
      <t>Rul 4:</t>
    </r>
    <r>
      <rPr>
        <sz val="12"/>
        <rFont val="Arial"/>
        <family val="2"/>
      </rPr>
      <t xml:space="preserve"> Se rul 1</t>
    </r>
  </si>
  <si>
    <r>
      <rPr>
        <b/>
        <sz val="12"/>
        <color theme="0"/>
        <rFont val="Arial"/>
        <family val="2"/>
      </rPr>
      <t>Rul 5:</t>
    </r>
    <r>
      <rPr>
        <sz val="12"/>
        <color theme="0"/>
        <rFont val="Arial"/>
        <family val="2"/>
      </rPr>
      <t xml:space="preserve"> Se rul 1</t>
    </r>
  </si>
  <si>
    <r>
      <rPr>
        <b/>
        <sz val="12"/>
        <color theme="0"/>
        <rFont val="Arial"/>
        <family val="2"/>
      </rPr>
      <t>Rul 6</t>
    </r>
    <r>
      <rPr>
        <sz val="12"/>
        <color theme="0"/>
        <rFont val="Arial"/>
        <family val="2"/>
      </rPr>
      <t>: Se rul 1</t>
    </r>
  </si>
  <si>
    <t>Ekskursionsdage: I kalenderen oplyses antal timer til hhv. kerneopgaver og evt. andre opgaver. Timerne oplyses i de gule celler.</t>
  </si>
  <si>
    <r>
      <rPr>
        <b/>
        <sz val="12"/>
        <rFont val="Arial"/>
        <family val="2"/>
      </rPr>
      <t>Koloni:</t>
    </r>
    <r>
      <rPr>
        <sz val="12"/>
        <rFont val="Arial"/>
        <family val="2"/>
      </rPr>
      <t xml:space="preserve"> Planlægges der i kalenderne med kolonidage og det vedrører det pædagogiske personale, tæller en kolonidag med max. 14 timer. Timerne tæller fra kl. 00. På en kolonidag skal der oplyses antal timer til hhv. kerneopgaver og evt. andre opgaver. Timerne oplyses i de gule celler.</t>
    </r>
  </si>
  <si>
    <t>Nul-dag: Hvis en ansat ikke skal arbejde på en mulig arbejdsdag, vælges dagen som en "nul-dag". En nul-dag tæller 0 timer. Har en ansat feks. kun en 4 dages arbejdsuge, vælges den 5. dag som en nul-dag.</t>
  </si>
  <si>
    <r>
      <rPr>
        <b/>
        <sz val="12"/>
        <color theme="0"/>
        <rFont val="Arial"/>
        <family val="2"/>
      </rPr>
      <t>Orlov:</t>
    </r>
    <r>
      <rPr>
        <sz val="12"/>
        <color theme="0"/>
        <rFont val="Arial"/>
        <family val="2"/>
      </rPr>
      <t xml:space="preserve"> Planlægges den ansatte med en kommende orlov Har jf. Barselslovens regler, vælges "Orlov". Dagene vil dermed tælle 7,4 timer * beskæftigelsesgraden. Varsles en orlov eller anden lovlig forfald, ændres der ikke på den i forvejen planlagte arbejdstid.</t>
    </r>
  </si>
  <si>
    <r>
      <rPr>
        <b/>
        <sz val="12"/>
        <rFont val="Arial"/>
        <family val="2"/>
      </rPr>
      <t xml:space="preserve">Pæd. dage </t>
    </r>
    <r>
      <rPr>
        <sz val="12"/>
        <rFont val="Arial"/>
        <family val="2"/>
      </rPr>
      <t>er dage hvor der afholdes pædagogiske dage. I kalenderen oplyses tiden til andre opgaver i den gule celle.</t>
    </r>
  </si>
  <si>
    <r>
      <rPr>
        <b/>
        <sz val="12"/>
        <color theme="0"/>
        <rFont val="Arial"/>
        <family val="2"/>
      </rPr>
      <t>Ikke relevante dage</t>
    </r>
    <r>
      <rPr>
        <sz val="12"/>
        <color theme="0"/>
        <rFont val="Arial"/>
        <family val="2"/>
      </rPr>
      <t xml:space="preserve"> er dage hvor den ansatte ikke er ansat. Planlægges der for en tidsbegrænset ansat, og den ansatte afslutter ansættelsesforholdet feks. d. 31. marts, vælges samtlige dage fra 1. april til 31. juli som "ikke relevante" (også lørdage og søndage). TIPS: Ikke relevatne dage kan kopieres ned i en hel måned ved først at vælge den første dag/evt. også dag 2 som "ikke relevant". Marker den ene eller begge celler der nu er valgt som ikke relevant, find en lille markør i nederste højre hjørne og "træk" markøren lodret ned i kolonnen til og med månedens sidste dag.</t>
    </r>
  </si>
  <si>
    <t>Mandage</t>
  </si>
  <si>
    <t>Tirsdage</t>
  </si>
  <si>
    <t>Onskdage</t>
  </si>
  <si>
    <t>Torsdage</t>
  </si>
  <si>
    <t>Fredage</t>
  </si>
  <si>
    <t>Normal uge 1 fordeler sig således:</t>
  </si>
  <si>
    <t>Normal uge 2 fordeler sig således:</t>
  </si>
  <si>
    <t>Normal uge 3 fordeler sig således:</t>
  </si>
  <si>
    <t>Normal uge 4 fordeler sig således:</t>
  </si>
  <si>
    <t>Ikke relevante efter kl. 17</t>
  </si>
  <si>
    <t>Omsorgsdg. eller seniordg.</t>
  </si>
  <si>
    <t>Omsorgsdag/seniordage</t>
  </si>
  <si>
    <t>Vælg med "X" om der afholdes en omsorgsdage/seniordage eller særlig feriedag samt dato (Afholdelse af disse dage medfører IKKE en ændring i arbejdstiden, men registreres i dette skema).</t>
  </si>
  <si>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 eller seniordage. Her er det vigtigt der ikke ændres i selve kalenderen, men at ajurføringen af afholdte dage udelukkende sker i skemaet under kalenderen. Læs noten i kalenderen.</t>
    </r>
  </si>
  <si>
    <r>
      <t xml:space="preserve">Særlige feriedage og omsorgsdage/seniordage: </t>
    </r>
    <r>
      <rPr>
        <sz val="14"/>
        <color theme="4" tint="-0.499984740745262"/>
        <rFont val="Calibri"/>
        <family val="2"/>
        <scheme val="minor"/>
      </rPr>
      <t>Der er også mulighed for at holde "regnskab" med skyldige særlige feriedage/feriefridage/6. ferieuge og omsorgsdage/seniordage. Læs noten herom i skemaet.</t>
    </r>
  </si>
  <si>
    <t xml:space="preserve">TIMEFORBRUG: Under hver måned optælles den enkelte måned med faktisk timeforbrug i forhold til normperiodens timetal. Ved planlægning af ansatte der er omfattet af BUPL/FOA, 3F eller ikke overenskomst men med en variabel årsnorm beregnes årsnormen ud fra antal kalenderdage fratrukket lørdage/søndage, søgne/helligdage og feriedage. Er normperioden vedr. en HK ansat og normperioden vedr. et helt skolår, beregnes normtimetallet ud fra 1924 timer fratrukket søgne/helligdage og feriedage. Er normperioden vedr. en HK ansat og normperioden ikke er for et helt skolelår, beregnes normtimetallet ud fra samme regel som BUPL/FOA og 3F (eksakt optælling af mulige arbejdsdage). Vedr. normperioden en ansat uden overenskomst men med en fast årsnorm og normperioden ikke er et helt skoleår, beregnes normtimetallet forholdsmæssigt udfra et helt skoleårs mulige arbejdsdag og normperiodens mulige arbejdsdage. </t>
  </si>
  <si>
    <r>
      <rPr>
        <b/>
        <sz val="12"/>
        <rFont val="Arial"/>
        <family val="2"/>
      </rPr>
      <t>Ferieåbning:</t>
    </r>
    <r>
      <rPr>
        <sz val="12"/>
        <rFont val="Arial"/>
        <family val="2"/>
      </rPr>
      <t xml:space="preserve"> Kan være dage hvor skolens SFO evt. har lukket og daginstitutionen i stedet passer SFO-børnene. Ferieåbning kan også være dage hvor en del af børnene og dermed også de ansatte har ferie, og som tæller en anden arbejdstid end de normale uger. Ferieåbningstimer oplyses i de gule celler i de 12 måneder. Ferieåbningsdage kan planlægges med kerneopgaver og andre opgaver.</t>
    </r>
  </si>
  <si>
    <t>BUPL/FOA</t>
  </si>
  <si>
    <r>
      <t xml:space="preserve">Normperioden </t>
    </r>
    <r>
      <rPr>
        <sz val="14"/>
        <color theme="4" tint="-0.499984740745262"/>
        <rFont val="Calibri"/>
        <family val="2"/>
        <scheme val="minor"/>
      </rPr>
      <t>planlægges nu med hvilke dage perioden indeholder. I kolonne C vælges dagene med piletasten. Vælges Normaluge 1-4 eller Rul 1-4, overføres arbejdstiden fra de planlagte timer i fanen "normale uger" og "rul". Vælges Ferieåbning, anderledes dag, pædagogisk dag, koloni eller ekskursion skal der i de gule felter (kolonne I og J) oplyses antal timer til kerneopgaver og øvrige opgaver.</t>
    </r>
    <r>
      <rPr>
        <b/>
        <sz val="14"/>
        <color theme="4" tint="-0.499984740745262"/>
        <rFont val="Calibri"/>
        <family val="2"/>
        <scheme val="minor"/>
      </rPr>
      <t xml:space="preserve"> </t>
    </r>
    <r>
      <rPr>
        <sz val="14"/>
        <color theme="4" tint="-0.499984740745262"/>
        <rFont val="Calibri"/>
        <family val="2"/>
        <scheme val="minor"/>
      </rPr>
      <t>Feriedage, nuldage og ikke relevante dage tæller automatisk 0 timer. Orlovsdage tæller automatisk 7,4 timer * beskæftigelsesgrad.</t>
    </r>
  </si>
  <si>
    <t>Ferieåbning</t>
  </si>
  <si>
    <t xml:space="preserve">Hvis den pågældende dag er en anderledes dag, ferieåbning, kolonidag eller ekskursionsdag bliver cellerne herunder gule. Er dagen en pædagogisk dag er det dog kun kolonne "J" der bliver gult. Tast i de gule felter. </t>
  </si>
  <si>
    <t>Anderledes dage, ferieåbning, koloni, ekskursionsdag og pæd.dage.</t>
  </si>
  <si>
    <t>K</t>
  </si>
  <si>
    <t>A</t>
  </si>
  <si>
    <t>Kerneopgave ELLER andre opgaver</t>
  </si>
  <si>
    <t>I kolonne d, f, h, j, l og n vælges hvorvidt oopgaven er en kerneopgave eller andre opgaver. Vælg fra rullelisten et "K" hvis det er en kerneopgave og et "A" hvis det er andre opgaver. Timerne til kerneopgaver overføres automatisk til månedskalenderne august - juli.</t>
  </si>
  <si>
    <t>Tast her skema med kerneopgaver og andre opgaver, varighed, opgavens art mm. Start med at udfylde celle "B7" - Skriv her startstidspunkt for dagens start. Er startstidspunktet kl. 6.15 skrives 06:15. Oplys derefter antal minutter hver kerneopgave eller andre opgaver varer. Eksempel: 45 min = 0:45 - 1 time = 1:00 - 1 time og 10 min. = 1:10</t>
  </si>
  <si>
    <t>Antal timer og minutter. 3 timer og 15 minutter skrives: 03:15</t>
  </si>
  <si>
    <t>Tast her skema med kerneopgaver og andre opgaver, varighed, opgavens art mm. Start med at udfylde celle "B8"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</si>
  <si>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"P8"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</si>
  <si>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"AD8"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</si>
  <si>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"AR8"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</si>
  <si>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Hvordan afvikles evt. puljetimer?</t>
  </si>
  <si>
    <t>Puljetimer registreres i månedskalendere</t>
  </si>
  <si>
    <t>Puljetimer registreres ikke men afvikles jævnt hen over normperioden</t>
  </si>
  <si>
    <t>Faktisk arbejdstid</t>
  </si>
  <si>
    <t>Afviklede puljetimer jf. Kalender eller fordelt jævnt hen over normperioden</t>
  </si>
  <si>
    <t>Liste over puljeopgaver. Puljeopgavernes tid skal svare til den normperiode planlægningen sker for.</t>
  </si>
  <si>
    <t>Tildelte puljetimer der endnu ikke er udført</t>
  </si>
  <si>
    <t>Efter at fanerne "stamoplysninger", "normale uger", "rul" og kalenderne august til juli er udfyldte, er det muligt at få et overblik over normperiodens samlede planlagte arbejdstid.</t>
  </si>
  <si>
    <r>
      <rPr>
        <b/>
        <sz val="14"/>
        <color theme="4" tint="-0.499984740745262"/>
        <rFont val="Calibri"/>
        <family val="2"/>
        <scheme val="minor"/>
      </rPr>
      <t>Skema 1</t>
    </r>
    <r>
      <rPr>
        <sz val="14"/>
        <color theme="4" tint="-0.499984740745262"/>
        <rFont val="Calibri"/>
        <family val="2"/>
        <scheme val="minor"/>
      </rPr>
      <t xml:space="preserve"> beregner normperiodens samlede arbejdstid. Da værktøjet kan bruges til at opgøre arbejdstiden er det VIGTIGT at antal mulige arbejdsdage ved planlægning af normperioden tastes i celle "G14". Tallet kan aflæses i celle "G13".</t>
    </r>
  </si>
  <si>
    <r>
      <rPr>
        <b/>
        <sz val="14"/>
        <color theme="4" tint="-0.499984740745262"/>
        <rFont val="Calibri"/>
        <family val="2"/>
        <scheme val="minor"/>
      </rPr>
      <t>Skema 2</t>
    </r>
    <r>
      <rPr>
        <sz val="14"/>
        <color theme="4" tint="-0.499984740745262"/>
        <rFont val="Calibri"/>
        <family val="2"/>
        <scheme val="minor"/>
      </rPr>
      <t xml:space="preserve"> viser hvordan arbejdstiden fordeler sig på kerneopgaver, andre opgaver, arbejdsopgaver imellem 17-06, orlovstimer og opgaver der løses i særlige måneder. I celle "J24" kan aflæses evt. timer til puljeopgaver.</t>
    </r>
  </si>
  <si>
    <r>
      <t xml:space="preserve">Skema 3 </t>
    </r>
    <r>
      <rPr>
        <sz val="14"/>
        <color theme="4" tint="-0.499984740745262"/>
        <rFont val="Calibri"/>
        <family val="2"/>
        <scheme val="minor"/>
      </rPr>
      <t>er et skema hvor man evt. kan liste puljeopgaver og tildelte timer dertil. I celle "H48" skal der oplyses om puljetimer efter udførelse registreres i månedskalendere eller om de forventes afviklet jævnt hen over normperioden.</t>
    </r>
    <r>
      <rPr>
        <b/>
        <sz val="14"/>
        <color theme="4" tint="-0.499984740745262"/>
        <rFont val="Calibri"/>
        <family val="2"/>
        <scheme val="minor"/>
      </rPr>
      <t xml:space="preserve"> </t>
    </r>
    <r>
      <rPr>
        <sz val="14"/>
        <color theme="4" tint="-0.499984740745262"/>
        <rFont val="Calibri"/>
        <family val="2"/>
        <scheme val="minor"/>
      </rPr>
      <t>Registreres puljetimer i kalenderne tæller celle "J49" timerne som de bliver registreret. Celle "J50" viser derefter en status på hvor mange puljetimer der mangles at blive planlagt/udført. Registreres puljetimerne ikke i kalenderne men forventes afviklet jævnt hen over normperioden vil celle "J49" vise antal puletimer afviklet jævnt hen over normperioden. Antallet af timer er antal totale puljetimer divideret med antal mulige arbejdsdage i normperioden "celleG14" gange antal mulige arbejdsdage i den faktiske normperiode "celle G13". Celle G14 og G13 vil være ens ved start af en normperiode. Afkortes normperioden vil celle "G13" vise tilsvarende færre antal mulige arbejdsdage svarende til delnormperioden.</t>
    </r>
  </si>
  <si>
    <r>
      <t xml:space="preserve">Skema 4 </t>
    </r>
    <r>
      <rPr>
        <sz val="14"/>
        <color theme="4" tint="-0.499984740745262"/>
        <rFont val="Calibri"/>
        <family val="2"/>
        <scheme val="minor"/>
      </rPr>
      <t>Viser de timer der er planlagt senere på året i skemaet "normale uger".</t>
    </r>
  </si>
  <si>
    <r>
      <rPr>
        <b/>
        <sz val="12"/>
        <color theme="4" tint="-0.499984740745262"/>
        <rFont val="Arial"/>
        <family val="2"/>
      </rPr>
      <t>FORHÅNDSUDFYLDT:</t>
    </r>
    <r>
      <rPr>
        <sz val="12"/>
        <color theme="1"/>
        <rFont val="Arial"/>
        <family val="2"/>
      </rPr>
      <t xml:space="preserve"> Værktøjet er forhåndsudfyldt med weekenddage og søgnehelligdage. De resterende dage er udfyldt som "normal uge 1" og skal rettes til efter den enkelte ansatte.</t>
    </r>
  </si>
  <si>
    <r>
      <rPr>
        <b/>
        <sz val="14"/>
        <color theme="4" tint="-0.499984740745262"/>
        <rFont val="Calibri (Tekst)"/>
      </rPr>
      <t>Overenskomst:</t>
    </r>
    <r>
      <rPr>
        <sz val="14"/>
        <color theme="4" tint="-0.499984740745262"/>
        <rFont val="Calibri"/>
        <family val="2"/>
        <scheme val="minor"/>
      </rPr>
      <t xml:space="preserve"> Hvis planlægningen vedr. en overenskomstområde skolen har tiltrådt vælges i celle "E13" om det er BUPL/FOA, HK eller 3F overenskomst. Planlægges der for en ansat hvortil skolen ikke har tiltrådt overenskomst vælges "Ikke omfattet af overenskomst - ansat med en fast årsnorm" eller "ikke omfattet af overenskomst - ansat med en varialbel årsnorm". Ved "ansatte der ikke er dækket af overenskomst - ansat med en fast årsnorm" skal skolen i celle "E15" oplyse det normtimetal der er aftalt i ansættelsesbrevet.</t>
    </r>
  </si>
  <si>
    <r>
      <rPr>
        <b/>
        <sz val="14"/>
        <color theme="4" tint="-0.499984740745262"/>
        <rFont val="Calibri"/>
        <family val="2"/>
        <scheme val="minor"/>
      </rPr>
      <t>Beregning af normtimetallet for en delnormperiode:</t>
    </r>
    <r>
      <rPr>
        <sz val="14"/>
        <color theme="4" tint="-0.499984740745262"/>
        <rFont val="Calibri"/>
        <family val="2"/>
        <scheme val="minor"/>
      </rPr>
      <t xml:space="preserve"> Ansatte under BUPL/FOA, 3F, HK samt ansatte uden overenskomst ansat med en varialbel årsnorm får beregnet årsnormen ud fra eksakt optælling af kalenderdage fratrukket weekenddage, søgne/helligdage og feriedage. Ansatte uden overenskomst ansat med en fast årsnorm får beregnet årsnormen forholdsvist udfra antal mulige arbejdsdage for et helt skoleår og antal mulige arbejdsdage for delnormperioden.</t>
    </r>
  </si>
  <si>
    <t>(vælg om opgaven er en kerneopgave eller andre opgaver).</t>
  </si>
  <si>
    <r>
      <t xml:space="preserve">Rullende dage. </t>
    </r>
    <r>
      <rPr>
        <sz val="14"/>
        <color theme="4" tint="-0.499984740745262"/>
        <rFont val="Calibri"/>
        <family val="2"/>
        <scheme val="minor"/>
      </rPr>
      <t>Planlægges der med rullende dage kan man i skemaet herunder planlægge med op til 6 rul. De rullende dage bruges oftest til planlægning af det pædagogiske personale hvor der en dag om ugen skiftes til at møde ind og få fri tidligt og sent. Lige som ved de normale uger vælges ud for hver opgave om der planlægges med en kerneopgave eller andre opgaver. Timerne der planlægges i skemaet som rullende dage overføres automatisk til månedskalenderne som hhv. tid til kerneopgaver og tid til andre opgaver. Planlægges der med et rul på feks. 4 anvendes rul 1 - rul 4. Rul 5 og rul 6 vil være tomme.</t>
    </r>
  </si>
  <si>
    <r>
      <t xml:space="preserve">Puljeopgaver: </t>
    </r>
    <r>
      <rPr>
        <sz val="14"/>
        <color theme="4" tint="-0.499984740745262"/>
        <rFont val="Calibri"/>
        <family val="2"/>
        <scheme val="minor"/>
      </rPr>
      <t>Er der i fanen "arbejdstidsoversigt" tildelt puljeopgaver/timer og der i celle "H49" er valgt at puljetimerne registreres i kalenderne, kan de præsterede timer tastes i kolonne "O". Tast i kolonne "N" hvilken pulje timerne vedrører og tast de præsterede timer i kolonne "O". De præsterede timer fratrækkes summen af de tildelte timer i fanen "arbejdstidsoversigt". Er der i fanen "arbejdstidsoversigt" celle "H49" istedet valgt at puljetimerne forventes udført jævnt hen over normperioden kan de ikke registreres i månedskalenderne. Kolonne "N" og "O" bliver derfor sorte.</t>
    </r>
  </si>
  <si>
    <t>Hvis der i fanen "arbejdstidsoversigt" er planlagt med puljeopgaver/timer og der i "arbejdstidsoversigt" celle "H49" er valgt er timerne registreres i kalenderne, kan timerne registreres herunder. Timerne medgår som en del af arbejdstiden i fanen "opgørelse". Er der i fanen "arbejdstidsoversigt" celle "H49" istedet valgt at puljetimerne forventes udført jævnt hen over normperioden er kolonne "N-O" sorte.</t>
  </si>
  <si>
    <t>VIGTIGT: Oplys her antal mulige arbejdsdage ved planlægning af normperioden. Kan aflæses i celle G14.</t>
  </si>
  <si>
    <r>
      <t>Evt. resttimer efter uddeling af puljetimer</t>
    </r>
    <r>
      <rPr>
        <sz val="12"/>
        <color theme="1"/>
        <rFont val="Calibri"/>
        <family val="2"/>
        <scheme val="minor"/>
      </rPr>
      <t>(positivt tal viser at der er planlagt med for mange timer i forhold til den ansattes årsnorm. Negativt tal viser de timer der endnu ikke er planlagt med). Læs noten hvis skolen ønsker at lave en målsøgning på arbejdstid og beskæftigelsesgrad.</t>
    </r>
  </si>
  <si>
    <r>
      <rPr>
        <b/>
        <sz val="12"/>
        <color theme="1"/>
        <rFont val="Calibri"/>
        <family val="2"/>
        <scheme val="minor"/>
      </rPr>
      <t>Evt rest timer</t>
    </r>
    <r>
      <rPr>
        <sz val="12"/>
        <color theme="1"/>
        <rFont val="Calibri"/>
        <family val="2"/>
        <scheme val="minor"/>
      </rPr>
      <t xml:space="preserve"> (positivt tal viser at der er planlagt med for mange timer i forhold til den ansattes årsnorm. Negativt tal viser de timer der endnu ikke er planlagt med og som der nedenfor kan tildeles puljeopgaver til).</t>
    </r>
  </si>
  <si>
    <r>
      <t xml:space="preserve">Status på afvikling af puljetimer. </t>
    </r>
    <r>
      <rPr>
        <sz val="12"/>
        <color theme="1"/>
        <rFont val="Calibri"/>
        <family val="2"/>
        <scheme val="minor"/>
      </rPr>
      <t>Er der i celle "H48" valgt at puljetimer registreres i månedskalendere viser dette tal antal timer der endnu ikke er planlagt/udført. Er der i celle "H48" valgt at puljetimer ikke registreres, men afvikles jævnt hen over normperioden, vil dette tal være antal arbejdstimer der ikke er tildelt puljetimer til. Negativt tal er timer den ansatte mangler at arbejde. Positivt tal er for mange planlagte arbejdstimer i forhold til beskæftigelsesgraden.</t>
    </r>
  </si>
  <si>
    <t>Normal uge 5</t>
  </si>
  <si>
    <t>Normal uge 6</t>
  </si>
  <si>
    <t>Kerneopgaver Normal uge 5</t>
  </si>
  <si>
    <t>Kerneopgaver Normal uge 6</t>
  </si>
  <si>
    <r>
      <rPr>
        <b/>
        <sz val="14"/>
        <color theme="4" tint="-0.499984740745262"/>
        <rFont val="Calibri (Tekst)"/>
      </rPr>
      <t>NORMAL UGER</t>
    </r>
    <r>
      <rPr>
        <sz val="14"/>
        <color theme="4" tint="-0.499984740745262"/>
        <rFont val="Calibri"/>
        <family val="2"/>
        <scheme val="minor"/>
      </rPr>
      <t xml:space="preserve">: </t>
    </r>
    <r>
      <rPr>
        <sz val="12"/>
        <color theme="1"/>
        <rFont val="Arial"/>
        <family val="2"/>
      </rPr>
      <t>Skema til oplysning om den ansattes faste kerneopgaver og andre opgaver. Her er mulighed for 6 normale uger i løbet af et skoleår. Udfyld skemaet og vælg hvorvidt der planlægges kerneopgaver eller andre opgaver. Vælges "K fo kerneopgaver" lyser feltet op med en grøn farve. Vælges "A for ndre opgaver" lyser feltet op med en gul farve. Under skema 1 listes opgaver der placeres senere på året/i særlige måneder. Dette så tiden til de særlige opgaver tælles med i den måned opgaven planlægges i.</t>
    </r>
  </si>
  <si>
    <r>
      <rPr>
        <b/>
        <sz val="12"/>
        <color theme="4" tint="-0.499984740745262"/>
        <rFont val="Arial"/>
        <family val="2"/>
      </rPr>
      <t xml:space="preserve">ARBEJDSTIDSOVERSIGT: </t>
    </r>
    <r>
      <rPr>
        <sz val="12"/>
        <color theme="1"/>
        <rFont val="Arial"/>
        <family val="2"/>
      </rPr>
      <t>Er en fane der giver en oversigt over den ansattes planlagte arbejdstid. I fanen er det muligt at tildele puljeopgaver og timer der ikke skemalægges i fanerne "normal uger" og "rul". Planlægges der med puljetimer skal der oplyses hvorvidt puljetimerne registreres i kalenderne eller om de forventes udført jævnt hen over året. Hvis puljetimerne registreres i kalenderne, vil de blive fratrukket arbejdstiden nederst i skema 3. Da dette værktøj kan bruges til at opgøre arbejdstiden er det vigtigt at man i celle "G14" skriver antallet af mulige arbejdsdage der planlægges med. Tallet kan aflæses i celle "G13". Skema 4 viser de opgaver der evt. er planlagt senere på året i fanen "normal uger".</t>
    </r>
  </si>
  <si>
    <r>
      <rPr>
        <b/>
        <sz val="12"/>
        <color theme="4" tint="-0.499984740745262"/>
        <rFont val="Arial"/>
        <family val="2"/>
      </rPr>
      <t xml:space="preserve"> TIL PRINT: </t>
    </r>
    <r>
      <rPr>
        <sz val="12"/>
        <color theme="1"/>
        <rFont val="Arial"/>
        <family val="2"/>
      </rPr>
      <t>Månedskalenderne august - juli, arbejdstidsoversigt, normaluge 1-6 til print, rul til print samt opgørelse.</t>
    </r>
  </si>
  <si>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I fanen "normal uger" fjernes de opgaver der evt. var planlagt særligt i måneder og som nu ikke længere er en del af den ansattes arbejdstid i delperioden. I månedeskalenderne markeres de dage der ikke er med i delperioden som "Ikke relevante". I fanen "Opgørelse" vises nu hvordan arbejdstiden stemmer med den ansattes beskæftigelsesgrad.</t>
  </si>
  <si>
    <r>
      <t xml:space="preserve">Normal uge 5: </t>
    </r>
    <r>
      <rPr>
        <sz val="12"/>
        <color theme="0"/>
        <rFont val="Arial"/>
        <family val="2"/>
      </rPr>
      <t>Se normal uge 1</t>
    </r>
  </si>
  <si>
    <r>
      <t xml:space="preserve">Normal uge 6: </t>
    </r>
    <r>
      <rPr>
        <sz val="12"/>
        <color theme="0"/>
        <rFont val="Arial"/>
        <family val="2"/>
      </rPr>
      <t>Se normal uge 1</t>
    </r>
  </si>
  <si>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</si>
  <si>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Stamdata</t>
  </si>
  <si>
    <t>Skemaoplysninger</t>
  </si>
  <si>
    <t>Skoleårets måneder august - juli</t>
  </si>
  <si>
    <t>Check at der er oplys et timetal i de celler der er oplyst med gult.</t>
  </si>
  <si>
    <t>Arbejdstidsoversigt</t>
  </si>
  <si>
    <t>Efter at skolen er færdig med at planlægge arbejdstiden for den enkelte medarbejder, kan man med fordel checke følgende:</t>
  </si>
  <si>
    <t>Celle E13. Er den rigtige overenskomst valgt?</t>
  </si>
  <si>
    <t>Celle E14. Planlægges der for et helt skoleår skal der her stå "Ja". Planlægges der for en del af et skoleår skal der stå "nej"</t>
  </si>
  <si>
    <t>Er der opgaver der placeres senere på året, check at de er angivet under "normal uge 1".</t>
  </si>
  <si>
    <t>Værktøjet tæller arbejdstid hvis der er vedr. normal uge 1 er valgt tid i kolonne A, valgt enten "K" for kerneopgaver eller "A" for andre opgaver i kolonne D, F, H, J og L og hvis der er skrevet en tekst eller andet i de celler der er farvet grønne eller gule. Alle 3 kritierier skal opfyldes for at arbejdstiden tæller som hhv. kerneopgavetid eller tid til andre opgaver. Check derfor at der er valgt rigtigt i forhold til om det er en kerneopgave (de grønne felter), om det er en anden opgave (de gule felter) og om der også er skrevet en tekst i de farvede felter. Det samme gør sig gældende ved Normal uge 2-6.</t>
  </si>
  <si>
    <t>Planlægges der opgaver efter kl. 17, check da at der er angivet en tekst i kolonne "H" på den enkelte dag.</t>
  </si>
  <si>
    <t>Fanen arbejdstidsoversigt er fanen hvor den ansattes arbejdstid samles.</t>
  </si>
  <si>
    <r>
      <rPr>
        <b/>
        <sz val="12"/>
        <color theme="4" tint="-0.499984740745262"/>
        <rFont val="Arial"/>
        <family val="2"/>
      </rPr>
      <t>OPGØRELSE:</t>
    </r>
    <r>
      <rPr>
        <b/>
        <sz val="12"/>
        <color theme="1"/>
        <rFont val="Arial"/>
        <family val="2"/>
      </rPr>
      <t xml:space="preserve"> </t>
    </r>
    <r>
      <rPr>
        <sz val="12"/>
        <color theme="1"/>
        <rFont val="Arial"/>
        <family val="2"/>
      </rPr>
      <t>Sker der ændringer i den planlagte arbejdstid vælges med et "X" i de enkelte måneder i kolonne P, Q og R hvad ændringen vedrører.  Efter ændringen/ændringerne er valgt med et "X" udfyldes de nu oplyste gule felter hvilke ændringer der er sket i forhold til den først planlagte tid. Arbejdsdage hvor den ansatte er fraværende på grund af sygdom eller andet lovligt forfald, indgår med den planlagte arbejdstid. Hvis der ikke er planlagt nogen arbejdstid, regnes med 7,4 timer * beskæftigelsesgraden pr. dag. Fanen "opgørelse" viser den ansattes præsterede arbejdstid i forhold til den ansattes beskæftigelsesgrad. DET ER VIGTIGT AT EFTER SKOLEÅRET ER PLANLAGT OG PÅBEGYNDT ÆNDRES DER IKKE I HVILKE DAGE SKOLEÅRET BYDER PÅ. SAMTLIGE ÆNDRINGER SKER FRA KOLONNE P-U.</t>
    </r>
  </si>
  <si>
    <r>
      <rPr>
        <b/>
        <sz val="12"/>
        <color theme="1"/>
        <rFont val="Calibri (Tekst)"/>
      </rPr>
      <t xml:space="preserve">Check at der i celle H49 </t>
    </r>
    <r>
      <rPr>
        <sz val="12"/>
        <color theme="1"/>
        <rFont val="Calibri (Tekst)"/>
      </rPr>
      <t xml:space="preserve">er valgt rigtigt i forhold til om evt. pulje opgaver skal registreres pr. dag eller om de forventes afviklet jævnt hen over normperioden. </t>
    </r>
  </si>
  <si>
    <r>
      <rPr>
        <b/>
        <sz val="12"/>
        <color theme="1"/>
        <rFont val="Calibri (Tekst)"/>
      </rPr>
      <t>Check at der i celle G15</t>
    </r>
    <r>
      <rPr>
        <sz val="12"/>
        <color theme="1"/>
        <rFont val="Calibri (Tekst)"/>
      </rPr>
      <t xml:space="preserve"> er angivet samme tal som G14. Dette for at fordele puljeopgaverne hvis de forventes afviklet jævnt hen over skoleåret, og for at opgøre opgaverne hvis en delnormperiode skal opgøres.</t>
    </r>
  </si>
  <si>
    <r>
      <rPr>
        <b/>
        <sz val="12"/>
        <color theme="1"/>
        <rFont val="Calibri (Tekst)"/>
      </rPr>
      <t>I celle J25</t>
    </r>
    <r>
      <rPr>
        <sz val="12"/>
        <color theme="1"/>
        <rFont val="Calibri (Tekst)"/>
      </rPr>
      <t xml:space="preserve"> aflæses hvor mange timer der evt. er til puljeopgaver der listes i skemaet under. Er tallet i celle J25 et negativt tal betyder det at der er timer der endnu ikke er planlagt og som evt. kan bruges til puljeopgaver. Er tallet positivt er der planlagt med for mange timer i forhold til beskæftigelsesgraden, hvilket gør at der skal fjernes opgaver eller at beskæftigelsesgraden skal aftales højere. </t>
    </r>
  </si>
  <si>
    <r>
      <rPr>
        <b/>
        <sz val="12"/>
        <color theme="1"/>
        <rFont val="Calibri (Tekst)"/>
      </rPr>
      <t>I celle J48</t>
    </r>
    <r>
      <rPr>
        <sz val="12"/>
        <color theme="1"/>
        <rFont val="Calibri (Tekst)"/>
      </rPr>
      <t xml:space="preserve"> aflæses om timerne medarbejderen er ansat passer til beskæftigelsesgraden. Tallet her skal være så godt som i nul som overhovedet muligt. Er tallet i minus er der timer ledelsen endnu ikke har planlagt. Er tallet i plus er der planlagt med for mange timer. Hvis skolen har brug for at udføre en målsøgning på hvad beskæftigelsesgraden er i forhold til de planlagte opgaver - læs da noten i celle J48. HUSK DOG AT EN ÆNDRING I BESKÆFTIGELSESGRADEN SKAL SKE MED MEDARBEJDERENS OPSIGELSESVARSEL MED MINDRE MEDARBEJDEREN OG SKOLEN INDGÅR EN ANDEN AFTALE.</t>
    </r>
  </si>
  <si>
    <t>Opgørelse af et skoleår eller en del af et skoleår</t>
  </si>
  <si>
    <t>Når et skoleår er gået har den ansatte krav på en opgørelse af arbejdstiden.</t>
  </si>
  <si>
    <t>Opgørelse af en del af et skoleår</t>
  </si>
  <si>
    <t>Gør sådan:</t>
  </si>
  <si>
    <t>Skemaoplysning</t>
  </si>
  <si>
    <t>August - juli</t>
  </si>
  <si>
    <t>Løbende registrering af ændringer</t>
  </si>
  <si>
    <t>De dage og måneder der ikke skal tælles med i opgørelsen af delperioden skal nu ændres til "ikke relevante".</t>
  </si>
  <si>
    <t>Ikke relevante vælges derfor for alle de dage den ansatte ikke er ansat eller skal tælle med i opgørelsen.</t>
  </si>
  <si>
    <t>I kolonne "C" vælges dagene den ansatte ikke er ansat som "ikke relevante", hvorefter dagene bliver sorte og ikke tælles med i opgørelsen. Det er dog vigtigt at ALLE dage ændres til "ikke relevante". Også lørdage, søndage, S/H dage og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</si>
  <si>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</si>
  <si>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Sådan aflæses opgørelsen</t>
  </si>
  <si>
    <t>Når ovennævnte ændringer er sket, kan opgørelsen af skoleåret eller delnormperioden aflæses i fanen "opgørelse".</t>
  </si>
  <si>
    <t>I række 58 aflæses hvorvidt den ansatte har arbejdet flere timer end normperioden indeholdte. Er tallet postivt har den ansatte arbejdet mere end normperioden indeholdte og skal udbetales eller afspadseres.</t>
  </si>
  <si>
    <t>MERTIMER: Timer op til en fuldtidsansættelse honoreres med den ansattes egen timeløn * mertimerne + pension.</t>
  </si>
  <si>
    <t>OVERTIMER: Timer over en fuldtidsnorm honoreres med den ansattes egen timeløn + 50%. Overtidsbetaling er uden pension.</t>
  </si>
  <si>
    <t>Opgørelsen kan aflæses i fanen "opgørelse", og forudsætter at skolen løbende har registreret evt. ændringer i forhold til de planlagte timer. Evt. ændringer registreres i fanerne august - juli. Vælg her med et "X" hvorvidt der er tale om en ændring i kerneopgaver, øvrige opgaver eller 17-06 opgaver. Vælg med et "X" i kolonne S hvis ændringen sker i forhold til den planlagte arbejdstid registreret tid til kerneopgaver oplyst i kolonne K. Vælg "X" i kolonne T hvis ændringen der er sket ændringer i forhold til den planlagte tid til andre opgaver oplyst i kolonne L og vælg "X" i kolonne U hvis ændringen vedr. tid imellem kl. 17-06 i forhold til den planlagte tid i kolonne M. Efter at skolen med et "X" har registreret at der er sket en ændring lyser den eller de celler op i kolonne P, Q og R hvor den faktiske ændring skal registreres. Er der tale om flere timer, registreres ændringen med et positivt tal, er der tale om færre timer registreres ændringen med et negativt tal.</t>
  </si>
  <si>
    <t>Opgørelse af et helt skoleår</t>
  </si>
  <si>
    <t>I fanen "stamoplysning" oplyses der i celle "E14" at der ikke længere er tale om et helt skoleår. Vælg "nej". Denne ændring skal ske, da arbejdstiden for en periode på mindre end et helt skoleår planlægges og opgøres med antal mulige arbejdsdage * 7,4 timer * beskæftigelsesgraden, og ikke ud fra evt. 1924 timers årsnormen.</t>
  </si>
  <si>
    <t>Er der opgaver der er planlagt senere på året i særlig måneder, og opgaven/månederne ikke skal tælle med i opgørelsen af delnormperioden skal timerne fjernes. Check derfor i fanen "normal uger" om der er planlagt opgaver senere på året der ikke skal tælle med i denne opgørelse og slet timerne. Dette checkes og ændres fra række 48-87.</t>
  </si>
  <si>
    <t>Sørg altid for at hvis der sker ændringer i arbejdstiden i forhold til det planlagte, skal ændringerne registreres i månederne august - juli. Se denne beskrivelse under opgørelse af et helt skoleår - denne fanes række 5.</t>
  </si>
  <si>
    <t>Hvis en medrbejder feks: opsiger sit arbejde d. 31. december vælges samtlige dage fra og med d. 1. januar til og med d. 31. juli som "ikke relevant". Det gælder både hverdage, weekenddage, s/h-dage og planlagte feriedage.</t>
  </si>
  <si>
    <t xml:space="preserve">Hvis en medarbejder afslutter sin ansættelse i løbet af skoleåret, eller medarbejderen får ændret beskæftigelsesgrad skal der ske en opgørelse af delnormperioden. HUSK VED ÆNDRING AF BESKÆFTIGELSESGRAD skal der planlægges en ny delnormperiode gældende for perioden med den ændrede beskæftigelsesgrad. </t>
  </si>
  <si>
    <t>Planlægning af en del af et skoleår</t>
  </si>
  <si>
    <t>I fanen "stamoplysning" oplyses der i celle "E14" at der ikke er tale om et helt skoleår. Vælg "nej". Denne ændring skal ske, da arbejdstiden for en periode på mindre end et helt skoleår planlægges og opgøres med antal mulige arbejdsdage * 7,4 timer * beskæftigelsesgraden, og ikke ud fra evt. 1924 timers årsnormen.</t>
  </si>
  <si>
    <t>Skemaoplysninger indeholder kerneopgaver og andre opgaver for delnormperioden samt evt. opgaver der planlægges senere på året. (under normalskema 1).</t>
  </si>
  <si>
    <t>De dage og måneder der ikke skal tælles med i opgørelsen af delperioden skal nu vælges som "ikke relevante".</t>
  </si>
  <si>
    <t>I kolonne "C" vælges dagene den ansatte ikke er ansat som "ikke relevante", hvorefter dagene farves sorte og ikke tælles med i opgørelsen. Det er dog vigtigt at ALLE dage ændres til "ikke relevante". Også lørdage, søndage, S/H dage og feriedage.</t>
  </si>
  <si>
    <t>Hvis en medrbejder feks: skal planlægges for en normperiode fra 1. januar til 31. juli, vælges alle dage fra d. 1. august - 31. december som "ikke relevant". Det gælder både hverdage, weekenddage, s/h-dage og planlagte feriedage.</t>
  </si>
  <si>
    <r>
      <rPr>
        <b/>
        <sz val="12"/>
        <color theme="1"/>
        <rFont val="Calibri"/>
        <family val="2"/>
        <scheme val="minor"/>
      </rPr>
      <t>Oplys i celle G15</t>
    </r>
    <r>
      <rPr>
        <sz val="12"/>
        <color theme="1"/>
        <rFont val="Calibri"/>
        <family val="2"/>
        <scheme val="minor"/>
      </rPr>
      <t xml:space="preserve"> antal dage oplyst i celle G14. </t>
    </r>
  </si>
  <si>
    <t>Følg tilsidst rådene listet i fanen "Gode råd til check".</t>
  </si>
  <si>
    <t>GODT ARBEJDE!</t>
  </si>
  <si>
    <t>GOD ARBEJDSLYST</t>
  </si>
  <si>
    <t>Efter at skolen har planlagt den ansattes arbejdstid, råder vi skolen til at gå fanen "gode råd til check" igennem. Punkterne der her er beskrevet, er de punkter der oftes begås fejl i.</t>
  </si>
  <si>
    <t>Rigtig god arbejdslyst</t>
  </si>
  <si>
    <t>Rul</t>
  </si>
  <si>
    <t>Normal uge 5 i alt</t>
  </si>
  <si>
    <t>Normal uge 6 i alt</t>
  </si>
  <si>
    <t>Normal uge 5 fordeler sig således:</t>
  </si>
  <si>
    <t>Normal uge 6 fordeler sig således:</t>
  </si>
  <si>
    <t>Onsdage</t>
  </si>
  <si>
    <t>Påskesøndag</t>
  </si>
  <si>
    <t>Kristi himmelfatsdag</t>
  </si>
  <si>
    <t>2025-2026</t>
  </si>
  <si>
    <t>1. juledag</t>
  </si>
  <si>
    <t>Årskalender for Min egen skole 2025-2026</t>
  </si>
  <si>
    <t>De særlige feriedage optjenes i et kalenderår og afvikles i det kommende ferieår maj-april (året efter). Der optjenes 0,42 dag pr. måneds ansættelse. Er man ansat under statens ferieaftale og været ansat hele optjeningsåret(2024), har man derfor ret til at afvikle 5 særlige feriedage til afvikling i ferieåret efter(1. maj 2025 - 30. april 2025).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2026, har ledelsen retten til at planlægge dagene med 30 dages varsel, således de er afviklet når ferieåret slutter d. 30. april 2026. Særlige feriedage der ikke er afviklet d. 30. april, skal udbetales eller aftales(skriftligt) til overførsel til det kommende ferieår. En evt. aftale om overførsels af særlige feriedage til et nyt ferieår skal være skriftlig aftalt senest d. 30. april 2026.</t>
  </si>
  <si>
    <t>Der er i alle skemaer tilføjet 5 ekstra rækker.</t>
  </si>
  <si>
    <t>Der er tilføjet 5 ekstra rækker.</t>
  </si>
  <si>
    <t>HUSK fanen: Gode råd til check</t>
  </si>
  <si>
    <r>
      <rPr>
        <b/>
        <sz val="14"/>
        <color theme="4" tint="-0.499984740745262"/>
        <rFont val="Calibri"/>
        <family val="2"/>
        <scheme val="minor"/>
      </rPr>
      <t>Beregning af normtimetallet for et helt skoleår:</t>
    </r>
    <r>
      <rPr>
        <sz val="14"/>
        <color theme="4" tint="-0.499984740745262"/>
        <rFont val="Calibri"/>
        <family val="2"/>
        <scheme val="minor"/>
      </rPr>
      <t xml:space="preserve"> Årsnormen for et helt skoleår er forskelligt alt efter hvad skolen har valgt i celle "E13". Ansatte under 3F overenskomst og ansatte uden overenskomst, ansat med en varialbel årsnorm får beregnet årsnorm ud fra antallet af kalenderdage fratrukket weekenddage, søgne/helligdage og feriedage. Ansatte hvortil skolen har tiltrådt BUPL/FOA eller HK overenskomst, får beregnet årsnormen ud fra et fast timetal på 1924. Herfra fratrækkes søgne/helligdage og feriedage. Ansatte uden overenskomst ansat med en fast årsnorm arbejder ud fra den aftalte årsnorm. I årsnormen er fratrukket weekenddage, søgne/helligdage og feriedage.</t>
    </r>
  </si>
  <si>
    <r>
      <t xml:space="preserve">Normal uger 1-4: </t>
    </r>
    <r>
      <rPr>
        <sz val="14"/>
        <color theme="4" tint="-0.499984740745262"/>
        <rFont val="Calibri"/>
        <family val="2"/>
        <scheme val="minor"/>
      </rPr>
      <t>I denne fane udfyldes et arbejdstidsskema med kerneopgaveer og andre opgaver. Under skemaet "normaluge 1", listes evt. opgaver der planlægges i særlige måneder. Ud for hver dag og hver aktivitet vælges om opgaven er en kerneopgave eller andre opgaver. Er det en kerneopgave vælges "K", er det andre opgaver vælges "A". Kerneopgaver kan være den tid det pædagogiske personale er ved børnene, den HK-ansatte arbejder med kontoropgaver eller hvor pedellen har sine hovedopgaver. Andre opgaver kan være forberedelse, pauser og andre puljeopgaver der ønskes skemalagt. Det er op til hver enkelt institution hvorvidt man ønsker at differentierer imellem kerneopgaver og andreopgaver. Hvis puljeopgaver ikke ønskes skemalagt, tastes de istedet i skemaet "arbejdstidsoversigt". Ikke skemalagte puljetimer er timer den ansatte selv tidsmæssigt må planlægge. I månedskalenderne er der mulighed for at skrive hvornår de ikke skemalagte puljetimer placeres, og på den måde i fanen "arbejdstidsoversigt" få en opgørelse af brugte/ikke brugte puljetimer.  De skemalagte timer til kerneopgaver og andre opgaver overføres direkte til de enkelte måneder.  Der er mulighed for at planlægge med 4 normale uger pr. normperiode. Planlægger skolen kun med en normaluge udfyldes skema 1. Planlægger skolen med to normaluger udfyldes skema 1 og 2 osv.</t>
    </r>
  </si>
  <si>
    <t xml:space="preserve">Vi anbefaler at institutionen udarbejder en masterplan. En planlægning hvor alle institutionens aktiviteter er lagt ind kalenderne august - juli, opgaver i særlige måneder (under normal uge 1) samt lister alle evt. puljeopgaver i fanen "arbejdstidsoversigt". Når hele institutionens aktiviteter er tænkt ind i masterplanen, gemmes masterplanen som masterplan. Når der planlægges for den enkelte ansatte, åbnes masterplanen, gem den nu med den ansattes navn. Oplys navn mm i fanen "stamoplysninger" og fokuser nu på den enkelte ansattes planlægning af skoleåret. Hvilke opgaver skal den enkelte ansatte udføre, timetal mm., tilret normale uger og rul, hvilke opgaver i opgaver der løses i særlige måneder skal den ansatte udføre, tilpas månederne august - juli og puljeopgaverne i fanen "arbejdstidsoversigt". Altså slet de opgaver den ansatte i masterplanen ikke skal udføre så planlægningen for den enkelte ansatte stemmer. </t>
  </si>
  <si>
    <t>MASTERPLAN - FØR DEN ENKELTE ANSATTES PLANLÆGNING</t>
  </si>
  <si>
    <r>
      <rPr>
        <b/>
        <sz val="12"/>
        <color theme="1"/>
        <rFont val="Calibri"/>
        <family val="2"/>
        <scheme val="minor"/>
      </rPr>
      <t xml:space="preserve">I celle G13 </t>
    </r>
    <r>
      <rPr>
        <sz val="12"/>
        <color theme="1"/>
        <rFont val="Calibri"/>
        <family val="2"/>
        <scheme val="minor"/>
      </rPr>
      <t>aflæses antal feriedage i skoleåret. For de fleste skal der her stå 25 dage. Der kan dog godt ske en forskydning af feriedage i forhold til et ferieafholdelsesår og et skoleår. Med den nye ferielov hvor vi optjener og afvikler ferie samtidig, vil der i ferieåret 1. september - 31. august blive optjent 25 dage. Disse 25 dage afvikles typisk også i samme periode. Check at den ansatte hvis muligt får planlagt 25 dage i ferieafholdelsesåret. Særligt på daginstitutionsområdet kan der dog ske forskydninger mht. ferie i forhold til ferie ultimo juli og primo august, og hvorvidt de 25 dage tæller i det ene eller andet skoleår. Det er ej heller givet at feriens placering er bestemt inden skoleåret planlægges. Der kan være tvivl om hvorvidt der afholdes ferie i feks. uge 42 eller uge 7/8 mm. Hvis skolen ved der skal holdes 25 feriedage, er det dog vigtigt skolen placerer 25 feriedage i planlægningen af skoleåret. Viser det sig at de planlagte feriedage ikke er feriedage, skal skolen registrere dette ved en ændring på den enkelte dag, omvendt vil der være en anden dag der givet vis er planlagt som en arbejdsdag der nu skal ændres til en feriedag. HUSK DOG AT ÆNDRINGER KUN SKER MED "X" I KOLONNE P, Q, R OG ÆNDRINGEN I TIMER I KOLONNE S, T OG U.</t>
    </r>
  </si>
  <si>
    <t>BUPL</t>
  </si>
  <si>
    <t>UDEN OK - variabel årsnorm</t>
  </si>
  <si>
    <t>Fast årsnorm</t>
  </si>
  <si>
    <t>Stamoplysninger</t>
  </si>
  <si>
    <t>Normale uger</t>
  </si>
  <si>
    <t>Stam-oplysninger</t>
  </si>
  <si>
    <t>Arbejdstids-oversigt</t>
  </si>
  <si>
    <t>Genveje til:</t>
  </si>
  <si>
    <t>Genvejstaster</t>
  </si>
  <si>
    <t>Variabel årsnorm</t>
  </si>
  <si>
    <t>I hver fane er det øverst muligt at benytte sig af genvejstaster for at gå fra fane til fane, i stedet for at vælge fanen nederst i excel-værktøjet. Genvejstasterne findes i fanerne: Stamoplysninger, normale uger, rul, august - juli, arbejdstidsoversigt og opgørelse.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</si>
</sst>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24">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24"/>
      <color theme="1"/>
      <name val="Calibri"/>
      <family val="2"/>
      <scheme val="minor"/>
    </font>
    <font>
      <sz val="12"/>
      <color theme="0"/>
      <name val="Calibri"/>
      <family val="2"/>
      <scheme val="minor"/>
    </font>
    <font>
      <sz val="12"/>
      <color rgb="FFFF0000"/>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b/>
      <sz val="10"/>
      <name val="Arial"/>
      <family val="2"/>
    </font>
    <font>
      <b/>
      <sz val="12"/>
      <name val="Arial"/>
      <family val="2"/>
    </font>
    <font>
      <b/>
      <sz val="12"/>
      <name val="Helvetica"/>
      <family val="2"/>
    </font>
    <font>
      <sz val="12"/>
      <color indexed="10"/>
      <name val="Arial"/>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sz val="12"/>
      <color theme="0"/>
      <name val="Arial"/>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b/>
      <sz val="12"/>
      <color theme="0"/>
      <name val="Calibri (Tekst)"/>
    </font>
    <font>
      <sz val="2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36"/>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0"/>
      <color rgb="FF00B050"/>
      <name val="Arial"/>
      <family val="2"/>
    </font>
    <font>
      <b/>
      <sz val="10"/>
      <color theme="5" tint="-0.249977111117893"/>
      <name val="Arial"/>
      <family val="2"/>
    </font>
    <font>
      <sz val="18"/>
      <color theme="1"/>
      <name val="Calibri"/>
      <family val="2"/>
      <scheme val="minor"/>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12"/>
      <color rgb="FFC00000"/>
      <name val="Calibri"/>
      <family val="2"/>
      <scheme val="minor"/>
    </font>
    <font>
      <sz val="11"/>
      <color theme="1"/>
      <name val="Arial"/>
      <family val="2"/>
    </font>
    <font>
      <b/>
      <sz val="10"/>
      <color rgb="FFC00000"/>
      <name val="Arial"/>
      <family val="2"/>
    </font>
    <font>
      <sz val="10"/>
      <color rgb="FF000000"/>
      <name val="Calibri"/>
      <family val="2"/>
      <scheme val="minor"/>
    </font>
    <font>
      <i/>
      <sz val="11"/>
      <color theme="1"/>
      <name val="Calibri"/>
      <family val="2"/>
      <scheme val="minor"/>
    </font>
    <font>
      <sz val="8"/>
      <color theme="1"/>
      <name val="Calibri"/>
      <family val="2"/>
      <scheme val="minor"/>
    </font>
    <font>
      <b/>
      <sz val="16"/>
      <color theme="0"/>
      <name val="Calibri"/>
      <family val="2"/>
      <scheme val="minor"/>
    </font>
    <font>
      <b/>
      <sz val="26"/>
      <color theme="4" tint="-0.499984740745262"/>
      <name val="Calibri"/>
      <family val="2"/>
      <scheme val="minor"/>
    </font>
    <font>
      <sz val="12"/>
      <color theme="4" tint="-0.499984740745262"/>
      <name val="Arial"/>
      <family val="2"/>
    </font>
    <font>
      <sz val="9"/>
      <color theme="0"/>
      <name val="Arial"/>
      <family val="2"/>
    </font>
    <font>
      <sz val="11"/>
      <color theme="0"/>
      <name val="Arial"/>
      <family val="2"/>
    </font>
    <font>
      <sz val="10"/>
      <color rgb="FF000000"/>
      <name val="Calibri"/>
      <family val="2"/>
    </font>
    <font>
      <b/>
      <sz val="10"/>
      <color rgb="FF000000"/>
      <name val="Calibri"/>
      <family val="2"/>
    </font>
    <font>
      <b/>
      <sz val="12"/>
      <color rgb="FFC00000"/>
      <name val="Calibri"/>
      <family val="2"/>
      <scheme val="minor"/>
    </font>
    <font>
      <sz val="6"/>
      <color theme="1"/>
      <name val="Calibri"/>
      <family val="2"/>
      <scheme val="minor"/>
    </font>
    <font>
      <b/>
      <sz val="18"/>
      <color theme="4" tint="-0.499984740745262"/>
      <name val="Calibri"/>
      <family val="2"/>
      <scheme val="minor"/>
    </font>
    <font>
      <b/>
      <sz val="12"/>
      <color theme="4" tint="-0.499984740745262"/>
      <name val="Calibri"/>
      <family val="2"/>
      <scheme val="minor"/>
    </font>
    <font>
      <b/>
      <sz val="12"/>
      <color theme="1"/>
      <name val="Calibri (Tekst)"/>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24"/>
      <color theme="4" tint="-0.499984740745262"/>
      <name val="Calibri"/>
      <family val="2"/>
      <scheme val="minor"/>
    </font>
    <font>
      <b/>
      <sz val="20"/>
      <color theme="4" tint="-0.499984740745262"/>
      <name val="Calibri"/>
      <family val="2"/>
      <scheme val="minor"/>
    </font>
    <font>
      <b/>
      <u/>
      <sz val="16"/>
      <color theme="4" tint="-0.499984740745262"/>
      <name val="Calibri"/>
      <family val="2"/>
      <scheme val="minor"/>
    </font>
    <font>
      <b/>
      <u/>
      <sz val="14"/>
      <color theme="4" tint="-0.499984740745262"/>
      <name val="Calibri"/>
      <family val="2"/>
      <scheme val="minor"/>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solid">
        <fgColor indexed="42"/>
        <bgColor indexed="64"/>
      </patternFill>
    </fill>
    <fill>
      <patternFill patternType="gray0625"/>
    </fill>
    <fill>
      <patternFill patternType="lightGray"/>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theme="1"/>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8" tint="0.39997558519241921"/>
        <bgColor indexed="64"/>
      </patternFill>
    </fill>
    <fill>
      <patternFill patternType="gray125">
        <bgColor theme="0" tint="-4.9989318521683403E-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499984740745262"/>
        <bgColor rgb="FF000000"/>
      </patternFill>
    </fill>
    <fill>
      <patternFill patternType="solid">
        <fgColor theme="9" tint="0.79998168889431442"/>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style="medium">
        <color auto="1"/>
      </right>
      <top style="thick">
        <color auto="1"/>
      </top>
      <bottom style="medium">
        <color auto="1"/>
      </bottom>
      <diagonal/>
    </border>
    <border>
      <left/>
      <right/>
      <top/>
      <bottom style="hair">
        <color auto="1"/>
      </bottom>
      <diagonal/>
    </border>
    <border>
      <left style="thin">
        <color auto="1"/>
      </left>
      <right style="medium">
        <color auto="1"/>
      </right>
      <top style="medium">
        <color indexed="64"/>
      </top>
      <bottom/>
      <diagonal/>
    </border>
    <border>
      <left style="thin">
        <color auto="1"/>
      </left>
      <right/>
      <top/>
      <bottom style="medium">
        <color auto="1"/>
      </bottom>
      <diagonal/>
    </border>
    <border>
      <left style="medium">
        <color indexed="64"/>
      </left>
      <right/>
      <top style="thick">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s>
  <cellStyleXfs count="54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0" borderId="0"/>
    <xf numFmtId="0" fontId="18" fillId="0" borderId="0"/>
    <xf numFmtId="0" fontId="22" fillId="0" borderId="0"/>
    <xf numFmtId="0" fontId="18" fillId="0" borderId="0" applyNumberForma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xf numFmtId="0" fontId="32" fillId="0" borderId="53" applyNumberFormat="0" applyFill="0" applyBorder="0" applyProtection="0">
      <alignment horizontal="center"/>
    </xf>
    <xf numFmtId="41" fontId="18" fillId="0" borderId="0" applyFont="0" applyFill="0" applyBorder="0" applyAlignment="0" applyProtection="0"/>
    <xf numFmtId="43" fontId="18" fillId="0" borderId="0" applyFont="0" applyFill="0" applyBorder="0" applyAlignment="0" applyProtection="0"/>
    <xf numFmtId="3" fontId="33" fillId="9" borderId="38" applyFill="0" applyBorder="0" applyAlignment="0">
      <alignment horizontal="center"/>
    </xf>
    <xf numFmtId="168" fontId="18" fillId="0" borderId="0" applyFont="0" applyFill="0" applyBorder="0" applyAlignment="0" applyProtection="0"/>
    <xf numFmtId="169" fontId="18" fillId="0" borderId="0" applyFont="0" applyFill="0" applyBorder="0" applyAlignment="0" applyProtection="0"/>
    <xf numFmtId="0" fontId="34" fillId="0" borderId="0" applyNumberFormat="0" applyFill="0" applyBorder="0" applyAlignment="0" applyProtection="0">
      <alignment vertical="top"/>
      <protection locked="0"/>
    </xf>
    <xf numFmtId="3" fontId="35" fillId="0" borderId="0" applyFont="0" applyFill="0" applyBorder="0" applyAlignment="0" applyProtection="0"/>
    <xf numFmtId="170" fontId="35" fillId="0" borderId="0" applyFont="0" applyFill="0" applyBorder="0" applyAlignment="0" applyProtection="0"/>
    <xf numFmtId="4" fontId="35" fillId="0" borderId="0" applyFont="0" applyFill="0" applyBorder="0" applyAlignment="0" applyProtection="0"/>
    <xf numFmtId="171" fontId="35" fillId="0" borderId="0" applyFont="0" applyFill="0" applyBorder="0" applyAlignment="0" applyProtection="0"/>
    <xf numFmtId="172" fontId="35" fillId="0" borderId="0" applyFont="0" applyFill="0" applyBorder="0" applyAlignment="0" applyProtection="0"/>
    <xf numFmtId="9" fontId="35" fillId="0" borderId="0" applyFont="0" applyFill="0" applyBorder="0" applyAlignment="0" applyProtection="0"/>
    <xf numFmtId="173" fontId="35" fillId="0" borderId="0" applyFont="0" applyFill="0" applyBorder="0" applyAlignment="0" applyProtection="0"/>
    <xf numFmtId="10" fontId="35" fillId="0" borderId="0" applyFont="0" applyFill="0" applyBorder="0" applyAlignment="0" applyProtection="0"/>
    <xf numFmtId="174" fontId="35" fillId="0" borderId="0" applyFont="0" applyFill="0" applyBorder="0" applyProtection="0">
      <alignment horizontal="center"/>
    </xf>
    <xf numFmtId="0" fontId="16" fillId="10" borderId="0" applyNumberFormat="0" applyFon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2" fillId="0" borderId="0" applyNumberFormat="0" applyFill="0" applyBorder="0" applyAlignment="0" applyProtection="0"/>
    <xf numFmtId="0" fontId="2" fillId="0" borderId="0" applyNumberFormat="0" applyFill="0" applyBorder="0" applyAlignment="0" applyProtection="0"/>
  </cellStyleXfs>
  <cellXfs count="1182">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7" fillId="0" borderId="0" xfId="0" applyFont="1"/>
    <xf numFmtId="0" fontId="8" fillId="0" borderId="0" xfId="0" applyFont="1"/>
    <xf numFmtId="0" fontId="6" fillId="5" borderId="23" xfId="0" applyFont="1" applyFill="1" applyBorder="1"/>
    <xf numFmtId="0" fontId="6" fillId="5" borderId="24" xfId="0" applyFont="1" applyFill="1" applyBorder="1"/>
    <xf numFmtId="0" fontId="6" fillId="5" borderId="25" xfId="0" applyFont="1" applyFill="1" applyBorder="1"/>
    <xf numFmtId="0" fontId="6" fillId="4" borderId="20" xfId="0" applyFont="1" applyFill="1" applyBorder="1"/>
    <xf numFmtId="0" fontId="0" fillId="4" borderId="21" xfId="0" applyFill="1" applyBorder="1"/>
    <xf numFmtId="0" fontId="0" fillId="4" borderId="22" xfId="0" applyFill="1" applyBorder="1"/>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0" fontId="14" fillId="0" borderId="0" xfId="0" applyFont="1"/>
    <xf numFmtId="0" fontId="6" fillId="0" borderId="0" xfId="0" applyFont="1"/>
    <xf numFmtId="0" fontId="23" fillId="0" borderId="0" xfId="374" applyFont="1"/>
    <xf numFmtId="0" fontId="25" fillId="0" borderId="0" xfId="374" applyFont="1"/>
    <xf numFmtId="0" fontId="22" fillId="0" borderId="0" xfId="374"/>
    <xf numFmtId="0" fontId="16" fillId="8" borderId="51" xfId="372" applyFill="1" applyBorder="1" applyAlignment="1">
      <alignment horizontal="center"/>
    </xf>
    <xf numFmtId="0" fontId="16" fillId="0" borderId="2" xfId="372" applyBorder="1" applyAlignment="1">
      <alignment horizontal="center"/>
    </xf>
    <xf numFmtId="0" fontId="16" fillId="0" borderId="10" xfId="372" applyBorder="1" applyAlignment="1">
      <alignment horizontal="center"/>
    </xf>
    <xf numFmtId="0" fontId="16" fillId="0" borderId="10" xfId="372" applyBorder="1" applyProtection="1">
      <protection locked="0"/>
    </xf>
    <xf numFmtId="1" fontId="26" fillId="0" borderId="7" xfId="372" applyNumberFormat="1" applyFont="1" applyBorder="1" applyAlignment="1" applyProtection="1">
      <alignment horizontal="right" vertical="top" wrapText="1"/>
      <protection locked="0"/>
    </xf>
    <xf numFmtId="0" fontId="27" fillId="0" borderId="10" xfId="374" applyFont="1" applyBorder="1"/>
    <xf numFmtId="0" fontId="27" fillId="0" borderId="0" xfId="374" applyFont="1"/>
    <xf numFmtId="0" fontId="28" fillId="0" borderId="10" xfId="372" applyFont="1" applyBorder="1" applyAlignment="1">
      <alignment horizontal="center"/>
    </xf>
    <xf numFmtId="1" fontId="29" fillId="0" borderId="10" xfId="372" applyNumberFormat="1" applyFont="1" applyBorder="1" applyAlignment="1" applyProtection="1">
      <alignment vertical="top"/>
      <protection locked="0"/>
    </xf>
    <xf numFmtId="0" fontId="18" fillId="0" borderId="0" xfId="374" applyFont="1"/>
    <xf numFmtId="0" fontId="19" fillId="0" borderId="0" xfId="374" applyFont="1"/>
    <xf numFmtId="0" fontId="30" fillId="0" borderId="0" xfId="374" applyFont="1"/>
    <xf numFmtId="0" fontId="19" fillId="0" borderId="0" xfId="374" applyFont="1" applyAlignment="1">
      <alignment horizontal="left"/>
    </xf>
    <xf numFmtId="0" fontId="16" fillId="0" borderId="3" xfId="372" applyBorder="1" applyAlignment="1">
      <alignment horizontal="center"/>
    </xf>
    <xf numFmtId="0" fontId="16" fillId="0" borderId="0" xfId="372" applyAlignment="1">
      <alignment horizontal="center"/>
    </xf>
    <xf numFmtId="0" fontId="16" fillId="0" borderId="0" xfId="372" applyProtection="1">
      <protection locked="0"/>
    </xf>
    <xf numFmtId="1" fontId="26" fillId="0" borderId="46" xfId="372" applyNumberFormat="1" applyFont="1" applyBorder="1" applyAlignment="1" applyProtection="1">
      <alignment vertical="top"/>
      <protection locked="0"/>
    </xf>
    <xf numFmtId="0" fontId="18" fillId="0" borderId="0" xfId="505" applyFont="1"/>
    <xf numFmtId="0" fontId="16" fillId="0" borderId="0" xfId="372"/>
    <xf numFmtId="0" fontId="39" fillId="0" borderId="0" xfId="505" applyFont="1"/>
    <xf numFmtId="0" fontId="31" fillId="0" borderId="0" xfId="374" applyFont="1"/>
    <xf numFmtId="1" fontId="29" fillId="0" borderId="0" xfId="372" applyNumberFormat="1" applyFont="1" applyAlignment="1" applyProtection="1">
      <alignment vertical="top"/>
      <protection locked="0"/>
    </xf>
    <xf numFmtId="0" fontId="28" fillId="0" borderId="0" xfId="372" applyFont="1" applyAlignment="1">
      <alignment horizontal="center"/>
    </xf>
    <xf numFmtId="0" fontId="16" fillId="0" borderId="66" xfId="372" applyBorder="1" applyProtection="1">
      <protection locked="0"/>
    </xf>
    <xf numFmtId="0" fontId="15" fillId="0" borderId="0" xfId="0" applyFont="1"/>
    <xf numFmtId="0" fontId="48" fillId="0" borderId="0" xfId="372" applyFont="1"/>
    <xf numFmtId="0" fontId="49" fillId="0" borderId="0" xfId="505" applyFont="1"/>
    <xf numFmtId="0" fontId="50" fillId="12" borderId="0" xfId="505" applyFont="1" applyFill="1"/>
    <xf numFmtId="0" fontId="51" fillId="0" borderId="0" xfId="505" applyFont="1" applyAlignment="1">
      <alignment horizontal="left"/>
    </xf>
    <xf numFmtId="0" fontId="51" fillId="0" borderId="0" xfId="505" applyFont="1"/>
    <xf numFmtId="0" fontId="52" fillId="0" borderId="0" xfId="372" applyFont="1"/>
    <xf numFmtId="0" fontId="16" fillId="0" borderId="69" xfId="372" applyBorder="1" applyProtection="1">
      <protection locked="0"/>
    </xf>
    <xf numFmtId="0" fontId="16" fillId="0" borderId="47" xfId="372" applyBorder="1" applyProtection="1">
      <protection locked="0"/>
    </xf>
    <xf numFmtId="1" fontId="41" fillId="8" borderId="7" xfId="372" applyNumberFormat="1" applyFont="1" applyFill="1" applyBorder="1" applyAlignment="1">
      <alignment horizontal="center"/>
    </xf>
    <xf numFmtId="0" fontId="16" fillId="0" borderId="5" xfId="372" applyBorder="1" applyAlignment="1">
      <alignment horizontal="center"/>
    </xf>
    <xf numFmtId="0" fontId="42" fillId="8" borderId="5" xfId="372" applyFont="1" applyFill="1" applyBorder="1" applyProtection="1">
      <protection locked="0"/>
    </xf>
    <xf numFmtId="1" fontId="40" fillId="8" borderId="6" xfId="372" applyNumberFormat="1" applyFont="1" applyFill="1" applyBorder="1" applyAlignment="1">
      <alignment horizontal="right" vertical="top" wrapText="1"/>
    </xf>
    <xf numFmtId="0" fontId="31" fillId="4" borderId="4" xfId="374" applyFont="1" applyFill="1" applyBorder="1"/>
    <xf numFmtId="0" fontId="31" fillId="4" borderId="5" xfId="374" applyFont="1" applyFill="1" applyBorder="1"/>
    <xf numFmtId="0" fontId="44" fillId="4" borderId="5" xfId="374" applyFont="1" applyFill="1" applyBorder="1" applyAlignment="1">
      <alignment horizontal="right"/>
    </xf>
    <xf numFmtId="0" fontId="31" fillId="4" borderId="6" xfId="374" applyFont="1" applyFill="1" applyBorder="1" applyAlignment="1">
      <alignment horizontal="right"/>
    </xf>
    <xf numFmtId="0" fontId="31" fillId="11" borderId="4" xfId="374" applyFont="1" applyFill="1" applyBorder="1"/>
    <xf numFmtId="0" fontId="31" fillId="11" borderId="5" xfId="374" applyFont="1" applyFill="1" applyBorder="1"/>
    <xf numFmtId="0" fontId="31" fillId="11" borderId="5" xfId="374" applyFont="1" applyFill="1" applyBorder="1" applyAlignment="1">
      <alignment horizontal="right"/>
    </xf>
    <xf numFmtId="0" fontId="31" fillId="12" borderId="4" xfId="374" applyFont="1" applyFill="1" applyBorder="1"/>
    <xf numFmtId="0" fontId="31" fillId="12" borderId="5" xfId="374" applyFont="1" applyFill="1" applyBorder="1"/>
    <xf numFmtId="0" fontId="31" fillId="12" borderId="5" xfId="374" applyFont="1" applyFill="1" applyBorder="1" applyAlignment="1">
      <alignment horizontal="right"/>
    </xf>
    <xf numFmtId="0" fontId="54" fillId="18" borderId="4" xfId="374" applyFont="1" applyFill="1" applyBorder="1"/>
    <xf numFmtId="0" fontId="54" fillId="18" borderId="5" xfId="374" applyFont="1" applyFill="1" applyBorder="1"/>
    <xf numFmtId="0" fontId="54" fillId="18" borderId="5" xfId="372" applyFont="1" applyFill="1" applyBorder="1"/>
    <xf numFmtId="0" fontId="54" fillId="18" borderId="5" xfId="374" applyFont="1" applyFill="1" applyBorder="1" applyAlignment="1">
      <alignment horizontal="right"/>
    </xf>
    <xf numFmtId="0" fontId="54" fillId="18" borderId="6" xfId="374" applyFont="1" applyFill="1" applyBorder="1" applyAlignment="1">
      <alignment horizontal="right"/>
    </xf>
    <xf numFmtId="0" fontId="52" fillId="18" borderId="0" xfId="372" applyFont="1" applyFill="1"/>
    <xf numFmtId="0" fontId="54" fillId="19" borderId="5" xfId="0" applyFont="1" applyFill="1" applyBorder="1"/>
    <xf numFmtId="0" fontId="54" fillId="19" borderId="5" xfId="0" applyFont="1" applyFill="1" applyBorder="1" applyAlignment="1">
      <alignment horizontal="right"/>
    </xf>
    <xf numFmtId="0" fontId="54" fillId="19" borderId="4" xfId="0" applyFont="1" applyFill="1" applyBorder="1"/>
    <xf numFmtId="0" fontId="18" fillId="2" borderId="0" xfId="505" applyFont="1" applyFill="1"/>
    <xf numFmtId="0" fontId="0" fillId="0" borderId="0" xfId="343" applyNumberFormat="1" applyFont="1"/>
    <xf numFmtId="0" fontId="31" fillId="0" borderId="0" xfId="505" applyAlignment="1">
      <alignment horizontal="justify" vertical="justify" wrapText="1"/>
    </xf>
    <xf numFmtId="0" fontId="37" fillId="0" borderId="0" xfId="505" applyFont="1" applyAlignment="1">
      <alignment horizontal="justify" vertical="justify"/>
    </xf>
    <xf numFmtId="0" fontId="31" fillId="13" borderId="0" xfId="505" applyFill="1" applyAlignment="1">
      <alignment horizontal="justify" vertical="justify" wrapText="1"/>
    </xf>
    <xf numFmtId="0" fontId="31" fillId="14" borderId="0" xfId="505" applyFill="1" applyAlignment="1">
      <alignment horizontal="justify" vertical="justify" wrapText="1"/>
    </xf>
    <xf numFmtId="0" fontId="31" fillId="16" borderId="0" xfId="505" applyFill="1" applyAlignment="1">
      <alignment horizontal="justify" vertical="justify" wrapText="1"/>
    </xf>
    <xf numFmtId="0" fontId="31" fillId="3" borderId="0" xfId="505" applyFill="1" applyAlignment="1">
      <alignment horizontal="justify" vertical="justify" wrapText="1"/>
    </xf>
    <xf numFmtId="0" fontId="54" fillId="18" borderId="0" xfId="505" applyFont="1" applyFill="1" applyAlignment="1">
      <alignment horizontal="justify" vertical="justify" wrapText="1"/>
    </xf>
    <xf numFmtId="0" fontId="16" fillId="2" borderId="2" xfId="372" applyFill="1" applyBorder="1" applyAlignment="1">
      <alignment horizontal="center"/>
    </xf>
    <xf numFmtId="0" fontId="16" fillId="2" borderId="10" xfId="372" applyFill="1" applyBorder="1" applyAlignment="1">
      <alignment horizontal="center"/>
    </xf>
    <xf numFmtId="0" fontId="16" fillId="2" borderId="10" xfId="372" applyFill="1" applyBorder="1" applyProtection="1">
      <protection locked="0"/>
    </xf>
    <xf numFmtId="0" fontId="58" fillId="12" borderId="0" xfId="0" applyFont="1" applyFill="1"/>
    <xf numFmtId="0" fontId="59" fillId="12" borderId="0" xfId="0" applyFont="1" applyFill="1"/>
    <xf numFmtId="0" fontId="59" fillId="12" borderId="0" xfId="0" applyFont="1" applyFill="1" applyAlignment="1">
      <alignment wrapText="1"/>
    </xf>
    <xf numFmtId="0" fontId="16" fillId="2" borderId="3" xfId="372" applyFill="1" applyBorder="1" applyAlignment="1">
      <alignment horizontal="center"/>
    </xf>
    <xf numFmtId="0" fontId="16" fillId="2" borderId="0" xfId="372" applyFill="1" applyAlignment="1">
      <alignment horizontal="center"/>
    </xf>
    <xf numFmtId="0" fontId="16" fillId="2" borderId="0" xfId="372" applyFill="1" applyProtection="1">
      <protection locked="0"/>
    </xf>
    <xf numFmtId="1" fontId="26" fillId="2" borderId="46" xfId="372" applyNumberFormat="1" applyFont="1" applyFill="1" applyBorder="1" applyAlignment="1" applyProtection="1">
      <alignment vertical="top"/>
      <protection locked="0"/>
    </xf>
    <xf numFmtId="1" fontId="26" fillId="2" borderId="7" xfId="372" applyNumberFormat="1" applyFont="1" applyFill="1" applyBorder="1" applyAlignment="1" applyProtection="1">
      <alignment vertical="top"/>
      <protection locked="0"/>
    </xf>
    <xf numFmtId="0" fontId="15" fillId="0" borderId="0" xfId="0" applyFont="1" applyAlignment="1">
      <alignment horizontal="center"/>
    </xf>
    <xf numFmtId="2" fontId="16" fillId="0" borderId="0" xfId="372" applyNumberFormat="1"/>
    <xf numFmtId="0" fontId="31" fillId="0" borderId="0" xfId="372" applyFont="1" applyAlignment="1">
      <alignment horizontal="center" wrapText="1"/>
    </xf>
    <xf numFmtId="2" fontId="16" fillId="0" borderId="10" xfId="372" applyNumberFormat="1" applyBorder="1" applyAlignment="1" applyProtection="1">
      <alignment horizontal="left"/>
      <protection locked="0"/>
    </xf>
    <xf numFmtId="2" fontId="16" fillId="2" borderId="0" xfId="372" applyNumberFormat="1" applyFill="1" applyAlignment="1" applyProtection="1">
      <alignment horizontal="left"/>
      <protection locked="0"/>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2" fontId="0" fillId="5" borderId="14" xfId="0" applyNumberFormat="1" applyFill="1" applyBorder="1" applyAlignment="1">
      <alignment horizontal="right"/>
    </xf>
    <xf numFmtId="0" fontId="15" fillId="0" borderId="0" xfId="0" applyFont="1" applyAlignment="1">
      <alignment wrapText="1"/>
    </xf>
    <xf numFmtId="2" fontId="15" fillId="0" borderId="0" xfId="0" applyNumberFormat="1" applyFont="1"/>
    <xf numFmtId="0" fontId="63" fillId="0" borderId="0" xfId="372" applyFont="1"/>
    <xf numFmtId="0" fontId="15" fillId="2" borderId="0" xfId="0" applyFont="1" applyFill="1"/>
    <xf numFmtId="0" fontId="16" fillId="0" borderId="0" xfId="372" applyAlignment="1">
      <alignment horizontal="left"/>
    </xf>
    <xf numFmtId="2" fontId="6" fillId="0" borderId="0" xfId="0" applyNumberFormat="1" applyFont="1"/>
    <xf numFmtId="2" fontId="16" fillId="0" borderId="0" xfId="372" applyNumberFormat="1" applyAlignment="1" applyProtection="1">
      <alignment horizontal="left"/>
      <protection locked="0"/>
    </xf>
    <xf numFmtId="0" fontId="36" fillId="0" borderId="0" xfId="372" applyFont="1" applyAlignment="1">
      <alignment horizontal="left"/>
    </xf>
    <xf numFmtId="0" fontId="16" fillId="0" borderId="75" xfId="372" applyBorder="1" applyAlignment="1">
      <alignment horizontal="centerContinuous"/>
    </xf>
    <xf numFmtId="0" fontId="43" fillId="0" borderId="56" xfId="372" applyFont="1" applyBorder="1" applyAlignment="1">
      <alignment horizontal="centerContinuous"/>
    </xf>
    <xf numFmtId="0" fontId="43" fillId="0" borderId="57" xfId="372" applyFont="1" applyBorder="1" applyAlignment="1">
      <alignment horizontal="centerContinuous"/>
    </xf>
    <xf numFmtId="0" fontId="16" fillId="0" borderId="13" xfId="372" applyBorder="1" applyAlignment="1">
      <alignment horizontal="center"/>
    </xf>
    <xf numFmtId="0" fontId="63" fillId="2" borderId="0" xfId="372" applyFont="1" applyFill="1"/>
    <xf numFmtId="2" fontId="63" fillId="2" borderId="0" xfId="372" applyNumberFormat="1" applyFont="1" applyFill="1" applyAlignment="1" applyProtection="1">
      <alignment horizontal="left"/>
      <protection locked="0"/>
    </xf>
    <xf numFmtId="0" fontId="0" fillId="4" borderId="0" xfId="0"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53" fillId="2" borderId="0" xfId="372" applyFont="1" applyFill="1"/>
    <xf numFmtId="2" fontId="16" fillId="2" borderId="1" xfId="372" applyNumberFormat="1" applyFill="1" applyBorder="1" applyAlignment="1">
      <alignment horizontal="right"/>
    </xf>
    <xf numFmtId="0" fontId="16" fillId="0" borderId="1" xfId="372" applyBorder="1" applyAlignment="1">
      <alignment horizontal="right"/>
    </xf>
    <xf numFmtId="0" fontId="36" fillId="0" borderId="0" xfId="372" applyFont="1"/>
    <xf numFmtId="2" fontId="16" fillId="0" borderId="1" xfId="372" applyNumberFormat="1" applyBorder="1" applyAlignment="1">
      <alignment horizontal="right"/>
    </xf>
    <xf numFmtId="0" fontId="53" fillId="22" borderId="15" xfId="372" applyFont="1" applyFill="1" applyBorder="1"/>
    <xf numFmtId="0" fontId="46" fillId="0" borderId="0" xfId="372" applyFont="1" applyAlignment="1">
      <alignment wrapText="1"/>
    </xf>
    <xf numFmtId="0" fontId="0" fillId="4" borderId="14" xfId="0" applyFill="1" applyBorder="1" applyAlignment="1" applyProtection="1">
      <alignment horizontal="left"/>
      <protection locked="0"/>
    </xf>
    <xf numFmtId="166" fontId="0" fillId="5" borderId="27" xfId="0" applyNumberFormat="1" applyFill="1" applyBorder="1" applyAlignment="1">
      <alignment horizontal="left"/>
    </xf>
    <xf numFmtId="2" fontId="60" fillId="27" borderId="1" xfId="0" applyNumberFormat="1" applyFont="1" applyFill="1" applyBorder="1" applyAlignment="1">
      <alignment horizontal="center" wrapText="1"/>
    </xf>
    <xf numFmtId="2" fontId="60" fillId="27" borderId="1" xfId="0" applyNumberFormat="1" applyFont="1" applyFill="1" applyBorder="1" applyAlignment="1">
      <alignment horizontal="center"/>
    </xf>
    <xf numFmtId="2" fontId="60" fillId="27" borderId="14" xfId="0" applyNumberFormat="1" applyFont="1" applyFill="1" applyBorder="1" applyAlignment="1">
      <alignment horizontal="center"/>
    </xf>
    <xf numFmtId="2" fontId="0" fillId="4" borderId="1" xfId="0" applyNumberFormat="1" applyFill="1" applyBorder="1" applyAlignment="1">
      <alignment horizontal="center"/>
    </xf>
    <xf numFmtId="0" fontId="48" fillId="0" borderId="0" xfId="372" applyFont="1" applyAlignment="1">
      <alignment wrapText="1"/>
    </xf>
    <xf numFmtId="0" fontId="16" fillId="0" borderId="0" xfId="372" applyAlignment="1">
      <alignment wrapText="1"/>
    </xf>
    <xf numFmtId="0" fontId="14" fillId="28" borderId="33" xfId="0" applyFont="1" applyFill="1" applyBorder="1"/>
    <xf numFmtId="0" fontId="14" fillId="28"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4" fillId="28" borderId="36" xfId="0" applyFont="1" applyFill="1" applyBorder="1" applyAlignment="1">
      <alignment horizontal="center" wrapText="1"/>
    </xf>
    <xf numFmtId="0" fontId="14" fillId="28" borderId="56" xfId="0" applyFont="1" applyFill="1" applyBorder="1" applyAlignment="1">
      <alignment horizontal="center" wrapText="1"/>
    </xf>
    <xf numFmtId="0" fontId="14" fillId="28" borderId="60"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16" fillId="8" borderId="6" xfId="372" applyFill="1" applyBorder="1" applyAlignment="1" applyProtection="1">
      <alignment horizontal="left"/>
      <protection locked="0"/>
    </xf>
    <xf numFmtId="0" fontId="16" fillId="8"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17" fillId="2" borderId="23" xfId="372" applyFont="1" applyFill="1" applyBorder="1" applyAlignment="1">
      <alignment horizontal="centerContinuous"/>
    </xf>
    <xf numFmtId="0" fontId="47" fillId="2" borderId="24" xfId="372" applyFont="1" applyFill="1" applyBorder="1" applyAlignment="1">
      <alignment horizontal="centerContinuous"/>
    </xf>
    <xf numFmtId="0" fontId="17" fillId="2" borderId="24" xfId="372" applyFont="1" applyFill="1" applyBorder="1" applyAlignment="1">
      <alignment horizontal="centerContinuous"/>
    </xf>
    <xf numFmtId="0" fontId="47" fillId="2" borderId="24" xfId="372" applyFont="1" applyFill="1" applyBorder="1" applyAlignment="1">
      <alignment horizontal="centerContinuous" vertical="top"/>
    </xf>
    <xf numFmtId="0" fontId="47" fillId="2" borderId="25" xfId="372" applyFont="1" applyFill="1" applyBorder="1" applyAlignment="1">
      <alignment horizontal="centerContinuous" vertical="top"/>
    </xf>
    <xf numFmtId="0" fontId="46" fillId="2" borderId="34" xfId="372" applyFont="1" applyFill="1" applyBorder="1" applyAlignment="1">
      <alignment horizontal="centerContinuous"/>
    </xf>
    <xf numFmtId="0" fontId="45" fillId="2" borderId="27" xfId="372" applyFont="1" applyFill="1" applyBorder="1" applyAlignment="1">
      <alignment horizontal="centerContinuous"/>
    </xf>
    <xf numFmtId="167" fontId="46" fillId="2" borderId="27" xfId="372" applyNumberFormat="1" applyFont="1" applyFill="1" applyBorder="1" applyAlignment="1">
      <alignment horizontal="centerContinuous"/>
    </xf>
    <xf numFmtId="167" fontId="45" fillId="2" borderId="19" xfId="372" applyNumberFormat="1" applyFont="1" applyFill="1" applyBorder="1" applyAlignment="1">
      <alignment horizontal="centerContinuous" vertical="top"/>
    </xf>
    <xf numFmtId="1" fontId="46" fillId="2" borderId="34" xfId="372" applyNumberFormat="1" applyFont="1" applyFill="1" applyBorder="1" applyAlignment="1">
      <alignment horizontal="centerContinuous"/>
    </xf>
    <xf numFmtId="0" fontId="53" fillId="22" borderId="42" xfId="372" applyFont="1" applyFill="1" applyBorder="1"/>
    <xf numFmtId="0" fontId="53" fillId="22" borderId="43" xfId="372" applyFont="1" applyFill="1" applyBorder="1"/>
    <xf numFmtId="0" fontId="53" fillId="22" borderId="32" xfId="372" applyFont="1" applyFill="1" applyBorder="1"/>
    <xf numFmtId="2" fontId="52" fillId="28" borderId="1" xfId="372" applyNumberFormat="1" applyFont="1" applyFill="1" applyBorder="1" applyAlignment="1">
      <alignment horizontal="right"/>
    </xf>
    <xf numFmtId="49" fontId="48" fillId="4" borderId="1" xfId="372" applyNumberFormat="1" applyFont="1" applyFill="1" applyBorder="1" applyAlignment="1" applyProtection="1">
      <alignment horizontal="right"/>
      <protection locked="0"/>
    </xf>
    <xf numFmtId="49" fontId="48" fillId="4" borderId="14" xfId="372" applyNumberFormat="1" applyFont="1" applyFill="1" applyBorder="1" applyAlignment="1" applyProtection="1">
      <alignment horizontal="right"/>
      <protection locked="0"/>
    </xf>
    <xf numFmtId="2" fontId="16" fillId="4" borderId="16" xfId="372" applyNumberFormat="1" applyFill="1" applyBorder="1" applyAlignment="1">
      <alignment horizontal="right"/>
    </xf>
    <xf numFmtId="0" fontId="16" fillId="2" borderId="9" xfId="372" applyFill="1" applyBorder="1" applyAlignment="1" applyProtection="1">
      <alignment horizontal="center"/>
      <protection locked="0"/>
    </xf>
    <xf numFmtId="0" fontId="16" fillId="2" borderId="1" xfId="372" applyFill="1" applyBorder="1" applyAlignment="1" applyProtection="1">
      <alignment horizontal="center"/>
      <protection locked="0"/>
    </xf>
    <xf numFmtId="0" fontId="31" fillId="0" borderId="55" xfId="372" applyFont="1" applyBorder="1" applyAlignment="1">
      <alignment horizontal="center" vertical="center" wrapText="1"/>
    </xf>
    <xf numFmtId="0" fontId="31" fillId="0" borderId="1" xfId="372" applyFont="1" applyBorder="1" applyAlignment="1">
      <alignment horizontal="center" vertical="center" wrapText="1"/>
    </xf>
    <xf numFmtId="0" fontId="31" fillId="0" borderId="12" xfId="372" applyFont="1" applyBorder="1" applyAlignment="1">
      <alignment horizontal="center" vertical="center" wrapText="1"/>
    </xf>
    <xf numFmtId="0" fontId="70" fillId="0" borderId="36" xfId="372" applyFont="1" applyBorder="1" applyAlignment="1">
      <alignment horizontal="centerContinuous"/>
    </xf>
    <xf numFmtId="0" fontId="64" fillId="4" borderId="55" xfId="372" applyFont="1" applyFill="1" applyBorder="1" applyAlignment="1">
      <alignment horizontal="center" vertical="center"/>
    </xf>
    <xf numFmtId="0" fontId="69" fillId="23" borderId="4" xfId="0" applyFont="1" applyFill="1" applyBorder="1" applyAlignment="1">
      <alignment horizontal="left"/>
    </xf>
    <xf numFmtId="0" fontId="69" fillId="23" borderId="5" xfId="0" applyFont="1" applyFill="1" applyBorder="1" applyAlignment="1">
      <alignment horizontal="left"/>
    </xf>
    <xf numFmtId="0" fontId="69" fillId="23" borderId="40" xfId="0" applyFont="1" applyFill="1" applyBorder="1" applyAlignment="1">
      <alignment horizontal="left"/>
    </xf>
    <xf numFmtId="0" fontId="61" fillId="0" borderId="0" xfId="372" applyFont="1" applyAlignment="1">
      <alignment horizontal="left"/>
    </xf>
    <xf numFmtId="2" fontId="16" fillId="4" borderId="42" xfId="372" applyNumberFormat="1" applyFill="1" applyBorder="1" applyAlignment="1">
      <alignment horizontal="right"/>
    </xf>
    <xf numFmtId="0" fontId="49" fillId="0" borderId="0" xfId="505" applyFont="1" applyAlignment="1">
      <alignment horizontal="left" wrapText="1"/>
    </xf>
    <xf numFmtId="4" fontId="0" fillId="5" borderId="18" xfId="0" applyNumberFormat="1" applyFill="1" applyBorder="1" applyAlignment="1">
      <alignment horizontal="right"/>
    </xf>
    <xf numFmtId="0" fontId="74" fillId="0" borderId="0" xfId="372" applyFont="1"/>
    <xf numFmtId="2" fontId="75" fillId="2" borderId="0" xfId="0" applyNumberFormat="1" applyFont="1" applyFill="1"/>
    <xf numFmtId="0" fontId="75" fillId="0" borderId="0" xfId="0" applyFont="1" applyAlignment="1">
      <alignment wrapText="1"/>
    </xf>
    <xf numFmtId="4" fontId="0" fillId="5" borderId="14" xfId="0" applyNumberFormat="1" applyFill="1" applyBorder="1" applyAlignment="1">
      <alignment horizontal="right"/>
    </xf>
    <xf numFmtId="0" fontId="67" fillId="26" borderId="23" xfId="0" applyFont="1" applyFill="1" applyBorder="1" applyAlignment="1">
      <alignment vertical="center"/>
    </xf>
    <xf numFmtId="0" fontId="67" fillId="26" borderId="24" xfId="0" applyFont="1" applyFill="1" applyBorder="1" applyAlignment="1">
      <alignment vertical="center"/>
    </xf>
    <xf numFmtId="0" fontId="67" fillId="26" borderId="28" xfId="0" applyFont="1" applyFill="1" applyBorder="1" applyAlignment="1">
      <alignment vertical="center"/>
    </xf>
    <xf numFmtId="166" fontId="14" fillId="2" borderId="0" xfId="0" applyNumberFormat="1" applyFont="1" applyFill="1" applyAlignment="1" applyProtection="1">
      <alignment horizontal="center"/>
      <protection locked="0"/>
    </xf>
    <xf numFmtId="0" fontId="0" fillId="5" borderId="14" xfId="0" applyFill="1" applyBorder="1" applyAlignment="1" applyProtection="1">
      <alignment horizontal="left"/>
      <protection locked="0"/>
    </xf>
    <xf numFmtId="0" fontId="0" fillId="5" borderId="17" xfId="0" applyFill="1" applyBorder="1" applyAlignment="1" applyProtection="1">
      <alignment horizontal="left"/>
      <protection locked="0"/>
    </xf>
    <xf numFmtId="2" fontId="0" fillId="0" borderId="55" xfId="0" applyNumberFormat="1" applyBorder="1"/>
    <xf numFmtId="2" fontId="0" fillId="0" borderId="17" xfId="0" applyNumberFormat="1" applyBorder="1"/>
    <xf numFmtId="2" fontId="48" fillId="4" borderId="1" xfId="372" applyNumberFormat="1" applyFont="1" applyFill="1" applyBorder="1" applyAlignment="1" applyProtection="1">
      <alignment horizontal="right"/>
      <protection locked="0"/>
    </xf>
    <xf numFmtId="0" fontId="14" fillId="28" borderId="63" xfId="0" applyFont="1" applyFill="1" applyBorder="1"/>
    <xf numFmtId="2" fontId="14" fillId="28" borderId="35" xfId="0" applyNumberFormat="1" applyFont="1" applyFill="1" applyBorder="1"/>
    <xf numFmtId="2" fontId="14" fillId="28" borderId="3" xfId="0" applyNumberFormat="1" applyFont="1" applyFill="1" applyBorder="1"/>
    <xf numFmtId="0" fontId="53" fillId="0" borderId="77" xfId="372" applyFont="1" applyBorder="1"/>
    <xf numFmtId="0" fontId="53" fillId="2" borderId="77" xfId="372" applyFont="1" applyFill="1" applyBorder="1"/>
    <xf numFmtId="0" fontId="36" fillId="0" borderId="77" xfId="372" applyFont="1" applyBorder="1" applyAlignment="1">
      <alignment horizontal="left"/>
    </xf>
    <xf numFmtId="2" fontId="63" fillId="0" borderId="0" xfId="372" applyNumberFormat="1" applyFont="1"/>
    <xf numFmtId="0" fontId="49" fillId="0" borderId="0" xfId="505" applyFont="1" applyAlignment="1">
      <alignment horizontal="left"/>
    </xf>
    <xf numFmtId="0" fontId="49" fillId="3" borderId="0" xfId="505" applyFont="1" applyFill="1" applyAlignment="1">
      <alignment horizontal="left"/>
    </xf>
    <xf numFmtId="0" fontId="49" fillId="0" borderId="0" xfId="505" applyFont="1" applyAlignment="1">
      <alignment horizontal="left" vertical="center" wrapText="1"/>
    </xf>
    <xf numFmtId="0" fontId="49" fillId="0" borderId="0" xfId="505" applyFont="1" applyAlignment="1">
      <alignment horizontal="center" vertical="center" wrapText="1"/>
    </xf>
    <xf numFmtId="0" fontId="79" fillId="0" borderId="0" xfId="505" applyFont="1"/>
    <xf numFmtId="0" fontId="79" fillId="0" borderId="0" xfId="505" applyFont="1" applyAlignment="1">
      <alignment horizontal="left" vertical="center" wrapText="1"/>
    </xf>
    <xf numFmtId="0" fontId="58" fillId="12" borderId="0" xfId="0" applyFont="1" applyFill="1" applyAlignment="1">
      <alignment horizontal="left" wrapText="1"/>
    </xf>
    <xf numFmtId="0" fontId="81" fillId="0" borderId="0" xfId="505" applyFont="1" applyAlignment="1">
      <alignment horizontal="center"/>
    </xf>
    <xf numFmtId="0" fontId="82" fillId="0" borderId="0" xfId="505" applyFont="1" applyAlignment="1">
      <alignment horizontal="center"/>
    </xf>
    <xf numFmtId="0" fontId="48" fillId="4" borderId="4" xfId="372" applyFont="1" applyFill="1" applyBorder="1" applyAlignment="1" applyProtection="1">
      <alignment horizontal="right"/>
      <protection locked="0"/>
    </xf>
    <xf numFmtId="0" fontId="14" fillId="28" borderId="1" xfId="0" applyFont="1" applyFill="1" applyBorder="1"/>
    <xf numFmtId="2" fontId="14" fillId="28" borderId="1" xfId="0" applyNumberFormat="1" applyFont="1" applyFill="1" applyBorder="1"/>
    <xf numFmtId="0" fontId="83" fillId="23" borderId="34" xfId="0" applyFont="1" applyFill="1" applyBorder="1" applyAlignment="1">
      <alignment horizontal="center"/>
    </xf>
    <xf numFmtId="0" fontId="14" fillId="23" borderId="27" xfId="0" applyFont="1" applyFill="1" applyBorder="1" applyAlignment="1">
      <alignment horizontal="center" wrapText="1"/>
    </xf>
    <xf numFmtId="2" fontId="14" fillId="28" borderId="4" xfId="0" applyNumberFormat="1" applyFont="1" applyFill="1" applyBorder="1"/>
    <xf numFmtId="0" fontId="14" fillId="23" borderId="33" xfId="0" applyFont="1" applyFill="1" applyBorder="1" applyAlignment="1">
      <alignment horizontal="center" wrapText="1"/>
    </xf>
    <xf numFmtId="0" fontId="14" fillId="23" borderId="0" xfId="0" applyFont="1" applyFill="1" applyAlignment="1">
      <alignment horizontal="center" wrapText="1"/>
    </xf>
    <xf numFmtId="0" fontId="14" fillId="23" borderId="73" xfId="0" applyFont="1" applyFill="1" applyBorder="1" applyAlignment="1">
      <alignment horizontal="center" wrapText="1"/>
    </xf>
    <xf numFmtId="2" fontId="0" fillId="0" borderId="78" xfId="0" applyNumberFormat="1" applyBorder="1"/>
    <xf numFmtId="2" fontId="0" fillId="4" borderId="78" xfId="0" applyNumberFormat="1" applyFill="1" applyBorder="1"/>
    <xf numFmtId="2" fontId="16" fillId="4" borderId="29" xfId="372" applyNumberFormat="1" applyFill="1" applyBorder="1"/>
    <xf numFmtId="2" fontId="16" fillId="4" borderId="43" xfId="372" applyNumberFormat="1" applyFill="1" applyBorder="1"/>
    <xf numFmtId="2" fontId="16" fillId="4" borderId="44" xfId="372" applyNumberFormat="1" applyFill="1" applyBorder="1"/>
    <xf numFmtId="0" fontId="85" fillId="0" borderId="0" xfId="372" applyFont="1" applyAlignment="1">
      <alignment horizontal="left"/>
    </xf>
    <xf numFmtId="2" fontId="85" fillId="0" borderId="0" xfId="372" applyNumberFormat="1" applyFont="1"/>
    <xf numFmtId="2" fontId="16" fillId="2" borderId="1" xfId="372" applyNumberFormat="1" applyFill="1" applyBorder="1"/>
    <xf numFmtId="49" fontId="48" fillId="4" borderId="4" xfId="372" applyNumberFormat="1" applyFont="1" applyFill="1" applyBorder="1" applyAlignment="1" applyProtection="1">
      <alignment horizontal="right"/>
      <protection locked="0"/>
    </xf>
    <xf numFmtId="2" fontId="16" fillId="4" borderId="14" xfId="372" applyNumberFormat="1" applyFill="1" applyBorder="1"/>
    <xf numFmtId="2" fontId="16" fillId="0" borderId="0" xfId="372" applyNumberFormat="1" applyAlignment="1">
      <alignment horizontal="right"/>
    </xf>
    <xf numFmtId="0" fontId="49" fillId="0" borderId="1" xfId="372" applyFont="1" applyBorder="1" applyAlignment="1">
      <alignment horizontal="center" vertical="center" wrapText="1"/>
    </xf>
    <xf numFmtId="0" fontId="49" fillId="0" borderId="40" xfId="372" applyFont="1" applyBorder="1" applyAlignment="1">
      <alignment horizontal="center" vertical="center" wrapText="1"/>
    </xf>
    <xf numFmtId="0" fontId="1" fillId="0" borderId="0" xfId="0" applyFont="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4" fontId="0" fillId="5" borderId="59" xfId="0" applyNumberFormat="1" applyFill="1" applyBorder="1" applyAlignment="1">
      <alignment horizontal="right"/>
    </xf>
    <xf numFmtId="0" fontId="54" fillId="29" borderId="4" xfId="0" applyFont="1" applyFill="1" applyBorder="1"/>
    <xf numFmtId="0" fontId="54" fillId="29" borderId="5" xfId="0" applyFont="1" applyFill="1" applyBorder="1"/>
    <xf numFmtId="0" fontId="54" fillId="29" borderId="5" xfId="0" applyFont="1" applyFill="1" applyBorder="1" applyAlignment="1">
      <alignment horizontal="right"/>
    </xf>
    <xf numFmtId="0" fontId="54" fillId="29" borderId="6" xfId="0" applyFont="1" applyFill="1" applyBorder="1" applyAlignment="1">
      <alignment horizontal="right"/>
    </xf>
    <xf numFmtId="1" fontId="26" fillId="0" borderId="0" xfId="372" applyNumberFormat="1" applyFont="1" applyAlignment="1" applyProtection="1">
      <alignment horizontal="right" vertical="top" wrapText="1"/>
      <protection locked="0"/>
    </xf>
    <xf numFmtId="1" fontId="26" fillId="0" borderId="0" xfId="372" applyNumberFormat="1" applyFont="1" applyAlignment="1" applyProtection="1">
      <alignment vertical="top"/>
      <protection locked="0"/>
    </xf>
    <xf numFmtId="0" fontId="52" fillId="19" borderId="6" xfId="0" applyFont="1" applyFill="1" applyBorder="1" applyAlignment="1">
      <alignment horizontal="right"/>
    </xf>
    <xf numFmtId="0" fontId="31" fillId="20" borderId="4" xfId="374" applyFont="1" applyFill="1" applyBorder="1"/>
    <xf numFmtId="0" fontId="31" fillId="20" borderId="5" xfId="374" applyFont="1" applyFill="1" applyBorder="1"/>
    <xf numFmtId="0" fontId="31" fillId="20" borderId="5" xfId="374" applyFont="1" applyFill="1" applyBorder="1" applyAlignment="1">
      <alignment horizontal="right"/>
    </xf>
    <xf numFmtId="0" fontId="31" fillId="20" borderId="6" xfId="374" applyFont="1" applyFill="1" applyBorder="1" applyAlignment="1">
      <alignment horizontal="right"/>
    </xf>
    <xf numFmtId="0" fontId="54" fillId="30" borderId="0" xfId="505" applyFont="1" applyFill="1" applyAlignment="1">
      <alignment horizontal="justify" vertical="justify" wrapText="1"/>
    </xf>
    <xf numFmtId="0" fontId="18" fillId="0" borderId="0" xfId="505" applyFont="1" applyAlignment="1">
      <alignment wrapText="1"/>
    </xf>
    <xf numFmtId="0" fontId="38" fillId="0" borderId="0" xfId="505" applyFont="1"/>
    <xf numFmtId="2" fontId="86" fillId="2" borderId="0" xfId="0" applyNumberFormat="1" applyFont="1" applyFill="1"/>
    <xf numFmtId="0" fontId="87" fillId="0" borderId="0" xfId="372" applyFont="1" applyAlignment="1">
      <alignment horizontal="left"/>
    </xf>
    <xf numFmtId="0" fontId="88" fillId="0" borderId="0" xfId="372" applyFont="1" applyAlignment="1">
      <alignment horizontal="left"/>
    </xf>
    <xf numFmtId="2" fontId="52" fillId="30" borderId="1" xfId="372" applyNumberFormat="1" applyFont="1" applyFill="1" applyBorder="1"/>
    <xf numFmtId="49" fontId="0" fillId="5" borderId="49" xfId="0" applyNumberFormat="1" applyFill="1" applyBorder="1" applyAlignment="1">
      <alignment horizontal="left"/>
    </xf>
    <xf numFmtId="166" fontId="0" fillId="0" borderId="0" xfId="0" applyNumberFormat="1"/>
    <xf numFmtId="0" fontId="31" fillId="0" borderId="9" xfId="0" applyFont="1" applyBorder="1" applyAlignment="1">
      <alignment horizontal="center" vertical="center" wrapText="1"/>
    </xf>
    <xf numFmtId="14" fontId="83" fillId="23" borderId="33" xfId="0" applyNumberFormat="1" applyFont="1" applyFill="1" applyBorder="1" applyAlignment="1">
      <alignment horizontal="center"/>
    </xf>
    <xf numFmtId="0" fontId="90" fillId="2" borderId="0" xfId="372" applyFont="1" applyFill="1"/>
    <xf numFmtId="2" fontId="90" fillId="2" borderId="0" xfId="372" applyNumberFormat="1" applyFont="1" applyFill="1"/>
    <xf numFmtId="0" fontId="91" fillId="0" borderId="0" xfId="372" applyFont="1"/>
    <xf numFmtId="0" fontId="90" fillId="0" borderId="0" xfId="372" applyFont="1" applyAlignment="1">
      <alignment horizontal="center"/>
    </xf>
    <xf numFmtId="0" fontId="90" fillId="0" borderId="0" xfId="372" applyFont="1" applyAlignment="1">
      <alignment horizontal="left"/>
    </xf>
    <xf numFmtId="0" fontId="93" fillId="0" borderId="0" xfId="0" applyFont="1"/>
    <xf numFmtId="0" fontId="93" fillId="0" borderId="0" xfId="0" applyFont="1" applyAlignment="1">
      <alignment horizontal="left"/>
    </xf>
    <xf numFmtId="0" fontId="91" fillId="0" borderId="0" xfId="0" applyFont="1"/>
    <xf numFmtId="0" fontId="95" fillId="0" borderId="0" xfId="538" applyFont="1" applyBorder="1" applyProtection="1"/>
    <xf numFmtId="0" fontId="91" fillId="2" borderId="0" xfId="372" applyFont="1" applyFill="1"/>
    <xf numFmtId="0" fontId="92" fillId="2" borderId="0" xfId="377" applyFont="1" applyFill="1" applyBorder="1" applyProtection="1"/>
    <xf numFmtId="0" fontId="94" fillId="2" borderId="0" xfId="372" applyFont="1" applyFill="1"/>
    <xf numFmtId="0" fontId="95" fillId="2" borderId="0" xfId="538" applyFont="1" applyFill="1" applyBorder="1" applyProtection="1"/>
    <xf numFmtId="0" fontId="95" fillId="2" borderId="0" xfId="372" applyFont="1" applyFill="1" applyAlignment="1">
      <alignment horizontal="right"/>
    </xf>
    <xf numFmtId="0" fontId="93" fillId="2" borderId="0" xfId="0" applyFont="1" applyFill="1"/>
    <xf numFmtId="0" fontId="91" fillId="11" borderId="0" xfId="372" applyFont="1" applyFill="1"/>
    <xf numFmtId="2" fontId="53" fillId="2" borderId="0" xfId="372" applyNumberFormat="1" applyFont="1" applyFill="1" applyAlignment="1">
      <alignment horizontal="center"/>
    </xf>
    <xf numFmtId="2" fontId="16" fillId="0" borderId="0" xfId="0" applyNumberFormat="1" applyFont="1" applyAlignment="1" applyProtection="1">
      <alignment horizontal="left"/>
      <protection locked="0"/>
    </xf>
    <xf numFmtId="0" fontId="48" fillId="0" borderId="1" xfId="372" applyFont="1" applyBorder="1" applyAlignment="1" applyProtection="1">
      <alignment horizontal="center"/>
      <protection locked="0"/>
    </xf>
    <xf numFmtId="1" fontId="57" fillId="0" borderId="10" xfId="374" applyNumberFormat="1" applyFont="1" applyBorder="1"/>
    <xf numFmtId="1" fontId="27" fillId="0" borderId="0" xfId="374" applyNumberFormat="1" applyFont="1"/>
    <xf numFmtId="0" fontId="16" fillId="2" borderId="4" xfId="372" applyFill="1" applyBorder="1" applyAlignment="1">
      <alignment horizontal="center"/>
    </xf>
    <xf numFmtId="0" fontId="16" fillId="2" borderId="5" xfId="372" applyFill="1" applyBorder="1" applyAlignment="1">
      <alignment horizontal="center"/>
    </xf>
    <xf numFmtId="0" fontId="16" fillId="2" borderId="5" xfId="372" applyFill="1" applyBorder="1" applyProtection="1">
      <protection locked="0"/>
    </xf>
    <xf numFmtId="0" fontId="16" fillId="2" borderId="6" xfId="372" applyFill="1" applyBorder="1" applyAlignment="1">
      <alignment horizontal="center"/>
    </xf>
    <xf numFmtId="1" fontId="41" fillId="2" borderId="5" xfId="372" applyNumberFormat="1" applyFont="1" applyFill="1" applyBorder="1" applyAlignment="1">
      <alignment horizontal="center"/>
    </xf>
    <xf numFmtId="0" fontId="16" fillId="4" borderId="4" xfId="372" applyFill="1" applyBorder="1" applyAlignment="1">
      <alignment horizontal="center"/>
    </xf>
    <xf numFmtId="0" fontId="16" fillId="4" borderId="5" xfId="372" applyFill="1" applyBorder="1" applyAlignment="1">
      <alignment horizontal="center"/>
    </xf>
    <xf numFmtId="0" fontId="16" fillId="4" borderId="5" xfId="372" applyFill="1" applyBorder="1" applyProtection="1">
      <protection locked="0"/>
    </xf>
    <xf numFmtId="1" fontId="41" fillId="4" borderId="6" xfId="372" applyNumberFormat="1" applyFont="1" applyFill="1" applyBorder="1" applyAlignment="1">
      <alignment horizontal="center"/>
    </xf>
    <xf numFmtId="1" fontId="41" fillId="2" borderId="6" xfId="372" applyNumberFormat="1" applyFont="1" applyFill="1" applyBorder="1" applyAlignment="1">
      <alignment horizontal="center"/>
    </xf>
    <xf numFmtId="1" fontId="41" fillId="4" borderId="5" xfId="372" applyNumberFormat="1" applyFont="1" applyFill="1" applyBorder="1" applyAlignment="1">
      <alignment horizontal="center"/>
    </xf>
    <xf numFmtId="0" fontId="41" fillId="4" borderId="6" xfId="372" applyFont="1" applyFill="1" applyBorder="1" applyAlignment="1">
      <alignment horizontal="center"/>
    </xf>
    <xf numFmtId="0" fontId="41" fillId="2" borderId="6" xfId="372" applyFont="1" applyFill="1" applyBorder="1" applyAlignment="1">
      <alignment horizontal="center"/>
    </xf>
    <xf numFmtId="1" fontId="26" fillId="2" borderId="46" xfId="372" applyNumberFormat="1" applyFont="1" applyFill="1" applyBorder="1" applyAlignment="1" applyProtection="1">
      <alignment horizontal="right" vertical="top" wrapText="1"/>
      <protection locked="0"/>
    </xf>
    <xf numFmtId="0" fontId="16" fillId="2" borderId="34" xfId="372" applyFill="1" applyBorder="1" applyAlignment="1">
      <alignment horizontal="center"/>
    </xf>
    <xf numFmtId="0" fontId="16" fillId="2" borderId="27" xfId="372" applyFill="1" applyBorder="1" applyAlignment="1">
      <alignment horizontal="center"/>
    </xf>
    <xf numFmtId="0" fontId="16" fillId="2" borderId="27" xfId="372" applyFill="1" applyBorder="1" applyProtection="1">
      <protection locked="0"/>
    </xf>
    <xf numFmtId="1" fontId="41" fillId="2" borderId="19" xfId="372" applyNumberFormat="1" applyFont="1" applyFill="1" applyBorder="1" applyAlignment="1">
      <alignment horizontal="center"/>
    </xf>
    <xf numFmtId="0" fontId="16" fillId="4" borderId="34" xfId="372" applyFill="1" applyBorder="1" applyAlignment="1">
      <alignment horizontal="center"/>
    </xf>
    <xf numFmtId="0" fontId="16" fillId="4" borderId="27" xfId="372" applyFill="1" applyBorder="1" applyAlignment="1">
      <alignment horizontal="center"/>
    </xf>
    <xf numFmtId="1" fontId="41" fillId="4" borderId="19" xfId="372" applyNumberFormat="1" applyFont="1" applyFill="1" applyBorder="1" applyAlignment="1">
      <alignment horizontal="center"/>
    </xf>
    <xf numFmtId="0" fontId="16" fillId="4" borderId="27" xfId="372" applyFill="1" applyBorder="1" applyProtection="1">
      <protection locked="0"/>
    </xf>
    <xf numFmtId="0" fontId="16" fillId="8" borderId="2" xfId="372" applyFill="1" applyBorder="1" applyAlignment="1">
      <alignment horizontal="center"/>
    </xf>
    <xf numFmtId="0" fontId="16" fillId="8" borderId="10" xfId="372" applyFill="1" applyBorder="1" applyAlignment="1">
      <alignment horizontal="center"/>
    </xf>
    <xf numFmtId="0" fontId="16" fillId="8" borderId="50" xfId="372" applyFill="1" applyBorder="1" applyAlignment="1">
      <alignment horizontal="center"/>
    </xf>
    <xf numFmtId="1" fontId="41" fillId="8" borderId="52" xfId="372" applyNumberFormat="1" applyFont="1" applyFill="1" applyBorder="1" applyAlignment="1">
      <alignment horizontal="center"/>
    </xf>
    <xf numFmtId="0" fontId="16" fillId="8" borderId="64" xfId="372" applyFill="1" applyBorder="1" applyAlignment="1">
      <alignment horizontal="center"/>
    </xf>
    <xf numFmtId="0" fontId="16" fillId="8" borderId="66" xfId="372" applyFill="1" applyBorder="1" applyAlignment="1">
      <alignment horizontal="center"/>
    </xf>
    <xf numFmtId="1" fontId="41" fillId="8" borderId="65" xfId="372" applyNumberFormat="1" applyFont="1" applyFill="1" applyBorder="1" applyAlignment="1">
      <alignment horizontal="center"/>
    </xf>
    <xf numFmtId="1" fontId="26" fillId="0" borderId="10" xfId="372" applyNumberFormat="1" applyFont="1" applyBorder="1" applyAlignment="1" applyProtection="1">
      <alignment vertical="top"/>
      <protection locked="0"/>
    </xf>
    <xf numFmtId="1" fontId="16" fillId="0" borderId="6" xfId="372" applyNumberFormat="1" applyBorder="1" applyAlignment="1">
      <alignment horizontal="center"/>
    </xf>
    <xf numFmtId="1" fontId="16" fillId="8" borderId="5" xfId="372" applyNumberFormat="1" applyFill="1" applyBorder="1" applyProtection="1">
      <protection locked="0"/>
    </xf>
    <xf numFmtId="1" fontId="16" fillId="8" borderId="6" xfId="372" applyNumberFormat="1" applyFill="1" applyBorder="1" applyProtection="1">
      <protection locked="0"/>
    </xf>
    <xf numFmtId="0" fontId="16" fillId="0" borderId="0" xfId="372" applyAlignment="1" applyProtection="1">
      <alignment horizontal="left"/>
      <protection locked="0"/>
    </xf>
    <xf numFmtId="0" fontId="24" fillId="0" borderId="4" xfId="373" applyFont="1" applyBorder="1" applyAlignment="1">
      <alignment horizontal="centerContinuous"/>
    </xf>
    <xf numFmtId="0" fontId="25" fillId="0" borderId="5" xfId="373" applyFont="1" applyBorder="1" applyAlignment="1">
      <alignment horizontal="centerContinuous"/>
    </xf>
    <xf numFmtId="167" fontId="20" fillId="0" borderId="5" xfId="373" applyNumberFormat="1" applyFont="1" applyBorder="1" applyAlignment="1">
      <alignment horizontal="centerContinuous"/>
    </xf>
    <xf numFmtId="167" fontId="18" fillId="0" borderId="6" xfId="373" applyNumberFormat="1" applyBorder="1" applyAlignment="1">
      <alignment horizontal="centerContinuous" vertical="top"/>
    </xf>
    <xf numFmtId="0" fontId="24" fillId="0" borderId="5" xfId="373" applyFont="1" applyBorder="1" applyAlignment="1">
      <alignment horizontal="centerContinuous"/>
    </xf>
    <xf numFmtId="1" fontId="24" fillId="0" borderId="4" xfId="373" applyNumberFormat="1" applyFont="1" applyBorder="1" applyAlignment="1">
      <alignment horizontal="centerContinuous"/>
    </xf>
    <xf numFmtId="0" fontId="17" fillId="0" borderId="4" xfId="372" applyFont="1" applyBorder="1" applyAlignment="1">
      <alignment horizontal="centerContinuous"/>
    </xf>
    <xf numFmtId="0" fontId="19" fillId="0" borderId="5" xfId="373" applyFont="1" applyBorder="1" applyAlignment="1">
      <alignment horizontal="centerContinuous"/>
    </xf>
    <xf numFmtId="0" fontId="20" fillId="0" borderId="5" xfId="373" applyFont="1" applyBorder="1" applyAlignment="1">
      <alignment horizontal="centerContinuous"/>
    </xf>
    <xf numFmtId="0" fontId="18" fillId="0" borderId="6" xfId="373" applyBorder="1" applyAlignment="1">
      <alignment horizontal="centerContinuous" vertical="top"/>
    </xf>
    <xf numFmtId="0" fontId="21" fillId="0" borderId="5" xfId="373" applyFont="1" applyBorder="1" applyAlignment="1">
      <alignment horizontal="centerContinuous"/>
    </xf>
    <xf numFmtId="0" fontId="18" fillId="0" borderId="5" xfId="373" applyBorder="1" applyAlignment="1">
      <alignment horizontal="centerContinuous" vertical="top"/>
    </xf>
    <xf numFmtId="2" fontId="48" fillId="0" borderId="1" xfId="372" applyNumberFormat="1" applyFont="1" applyBorder="1" applyAlignment="1" applyProtection="1">
      <alignment horizontal="center"/>
      <protection locked="0"/>
    </xf>
    <xf numFmtId="2" fontId="48" fillId="3" borderId="1" xfId="372" applyNumberFormat="1" applyFont="1" applyFill="1" applyBorder="1" applyAlignment="1" applyProtection="1">
      <alignment horizontal="center"/>
      <protection locked="0"/>
    </xf>
    <xf numFmtId="2" fontId="48" fillId="3" borderId="14" xfId="372" applyNumberFormat="1" applyFont="1" applyFill="1" applyBorder="1" applyAlignment="1" applyProtection="1">
      <alignment horizontal="center"/>
      <protection locked="0"/>
    </xf>
    <xf numFmtId="2" fontId="48" fillId="3" borderId="40" xfId="372" applyNumberFormat="1" applyFont="1" applyFill="1" applyBorder="1" applyAlignment="1" applyProtection="1">
      <alignment horizontal="center"/>
      <protection locked="0"/>
    </xf>
    <xf numFmtId="0" fontId="48" fillId="2" borderId="9" xfId="372" applyFont="1" applyFill="1" applyBorder="1" applyAlignment="1" applyProtection="1">
      <alignment horizontal="left"/>
      <protection locked="0"/>
    </xf>
    <xf numFmtId="2" fontId="0" fillId="21" borderId="0" xfId="0" applyNumberFormat="1" applyFill="1"/>
    <xf numFmtId="0" fontId="0" fillId="31" borderId="0" xfId="0" applyFill="1"/>
    <xf numFmtId="0" fontId="0" fillId="24" borderId="0" xfId="0" applyFill="1"/>
    <xf numFmtId="0" fontId="0" fillId="15" borderId="0" xfId="0" applyFill="1"/>
    <xf numFmtId="0" fontId="0" fillId="25" borderId="0" xfId="0" applyFill="1"/>
    <xf numFmtId="0" fontId="0" fillId="5" borderId="4" xfId="0" applyFill="1" applyBorder="1"/>
    <xf numFmtId="0" fontId="0" fillId="5" borderId="40" xfId="0" applyFill="1" applyBorder="1"/>
    <xf numFmtId="0" fontId="31" fillId="11" borderId="0" xfId="505" applyFill="1" applyAlignment="1">
      <alignment horizontal="justify" vertical="justify" wrapText="1"/>
    </xf>
    <xf numFmtId="0" fontId="36" fillId="5" borderId="55" xfId="372" applyFont="1" applyFill="1" applyBorder="1"/>
    <xf numFmtId="0" fontId="36" fillId="5" borderId="48" xfId="372" applyFont="1" applyFill="1" applyBorder="1"/>
    <xf numFmtId="0" fontId="16" fillId="4" borderId="29" xfId="372" applyFill="1" applyBorder="1"/>
    <xf numFmtId="0" fontId="16" fillId="4" borderId="43" xfId="372" applyFill="1" applyBorder="1"/>
    <xf numFmtId="2" fontId="48" fillId="3" borderId="14" xfId="372" applyNumberFormat="1" applyFont="1" applyFill="1" applyBorder="1" applyProtection="1">
      <protection locked="0"/>
    </xf>
    <xf numFmtId="2" fontId="48" fillId="0" borderId="14" xfId="372" applyNumberFormat="1" applyFont="1" applyBorder="1" applyProtection="1">
      <protection locked="0"/>
    </xf>
    <xf numFmtId="0" fontId="48" fillId="0" borderId="9" xfId="372" applyFont="1" applyBorder="1" applyAlignment="1" applyProtection="1">
      <alignment horizontal="center"/>
      <protection locked="0"/>
    </xf>
    <xf numFmtId="0" fontId="45" fillId="4" borderId="48" xfId="372" applyFont="1" applyFill="1" applyBorder="1" applyAlignment="1">
      <alignment vertical="center" wrapText="1"/>
    </xf>
    <xf numFmtId="2" fontId="48" fillId="4" borderId="17" xfId="372" applyNumberFormat="1" applyFont="1" applyFill="1" applyBorder="1" applyAlignment="1">
      <alignment vertical="center"/>
    </xf>
    <xf numFmtId="0" fontId="16" fillId="4" borderId="13" xfId="372" applyFill="1" applyBorder="1" applyAlignment="1">
      <alignment horizontal="center" vertical="center" wrapText="1"/>
    </xf>
    <xf numFmtId="0" fontId="16" fillId="4" borderId="4" xfId="372" applyFill="1" applyBorder="1" applyAlignment="1">
      <alignment horizontal="center" vertical="center" wrapText="1"/>
    </xf>
    <xf numFmtId="0" fontId="61" fillId="4" borderId="29" xfId="372" applyFont="1" applyFill="1" applyBorder="1" applyAlignment="1">
      <alignment horizontal="left"/>
    </xf>
    <xf numFmtId="0" fontId="61" fillId="4" borderId="43" xfId="372" applyFont="1" applyFill="1" applyBorder="1" applyAlignment="1">
      <alignment horizontal="left"/>
    </xf>
    <xf numFmtId="0" fontId="61" fillId="4" borderId="32" xfId="372" applyFont="1" applyFill="1" applyBorder="1" applyAlignment="1">
      <alignment horizontal="left"/>
    </xf>
    <xf numFmtId="0" fontId="36" fillId="5" borderId="31" xfId="372" applyFont="1" applyFill="1" applyBorder="1"/>
    <xf numFmtId="0" fontId="16" fillId="5" borderId="27" xfId="372" applyFill="1" applyBorder="1" applyAlignment="1">
      <alignment wrapText="1"/>
    </xf>
    <xf numFmtId="0" fontId="16" fillId="5" borderId="27" xfId="372" applyFill="1" applyBorder="1" applyAlignment="1">
      <alignment horizontal="left" wrapText="1"/>
    </xf>
    <xf numFmtId="0" fontId="16" fillId="5" borderId="0" xfId="372" applyFill="1" applyAlignment="1">
      <alignment horizontal="left" wrapText="1"/>
    </xf>
    <xf numFmtId="0" fontId="48" fillId="5" borderId="0" xfId="372" applyFont="1" applyFill="1" applyAlignment="1">
      <alignment horizontal="left" wrapText="1"/>
    </xf>
    <xf numFmtId="0" fontId="48" fillId="5" borderId="73" xfId="372" applyFont="1" applyFill="1" applyBorder="1" applyAlignment="1">
      <alignment horizontal="left" wrapText="1"/>
    </xf>
    <xf numFmtId="0" fontId="98" fillId="0" borderId="0" xfId="0" applyFont="1"/>
    <xf numFmtId="2" fontId="48" fillId="4" borderId="16" xfId="372" applyNumberFormat="1" applyFont="1" applyFill="1" applyBorder="1" applyAlignment="1">
      <alignment horizontal="center" vertical="center"/>
    </xf>
    <xf numFmtId="0" fontId="31" fillId="4" borderId="13" xfId="372" applyFont="1" applyFill="1" applyBorder="1" applyAlignment="1">
      <alignment vertical="center"/>
    </xf>
    <xf numFmtId="0" fontId="31" fillId="4" borderId="5" xfId="372" applyFont="1" applyFill="1" applyBorder="1" applyAlignment="1">
      <alignment vertical="center"/>
    </xf>
    <xf numFmtId="0" fontId="64" fillId="4" borderId="58" xfId="372" applyFont="1" applyFill="1" applyBorder="1" applyAlignment="1">
      <alignment horizontal="center"/>
    </xf>
    <xf numFmtId="0" fontId="64" fillId="4" borderId="27" xfId="372" applyFont="1" applyFill="1" applyBorder="1" applyAlignment="1">
      <alignment horizontal="center"/>
    </xf>
    <xf numFmtId="2" fontId="48" fillId="2" borderId="1" xfId="372" applyNumberFormat="1" applyFont="1" applyFill="1" applyBorder="1" applyAlignment="1">
      <alignment horizontal="center"/>
    </xf>
    <xf numFmtId="2" fontId="48" fillId="2" borderId="14" xfId="372" applyNumberFormat="1" applyFont="1" applyFill="1" applyBorder="1" applyAlignment="1">
      <alignment horizontal="center"/>
    </xf>
    <xf numFmtId="2" fontId="48" fillId="4" borderId="17" xfId="372" applyNumberFormat="1" applyFont="1" applyFill="1" applyBorder="1" applyAlignment="1">
      <alignment horizontal="center" vertical="center"/>
    </xf>
    <xf numFmtId="0" fontId="83" fillId="23" borderId="36" xfId="0" applyFont="1" applyFill="1" applyBorder="1"/>
    <xf numFmtId="0" fontId="83" fillId="23" borderId="56" xfId="0" applyFont="1" applyFill="1" applyBorder="1"/>
    <xf numFmtId="0" fontId="83" fillId="23" borderId="60" xfId="0" applyFont="1" applyFill="1" applyBorder="1"/>
    <xf numFmtId="14" fontId="83" fillId="23" borderId="41" xfId="0" applyNumberFormat="1" applyFont="1" applyFill="1" applyBorder="1"/>
    <xf numFmtId="14" fontId="83" fillId="23" borderId="45" xfId="0" applyNumberFormat="1" applyFont="1" applyFill="1" applyBorder="1"/>
    <xf numFmtId="14" fontId="83" fillId="23" borderId="71" xfId="0" applyNumberFormat="1" applyFont="1" applyFill="1" applyBorder="1"/>
    <xf numFmtId="0" fontId="0" fillId="5" borderId="40" xfId="0" applyFill="1" applyBorder="1" applyAlignment="1" applyProtection="1">
      <alignment horizontal="left"/>
      <protection locked="0"/>
    </xf>
    <xf numFmtId="0" fontId="0" fillId="4" borderId="40" xfId="0" applyFill="1" applyBorder="1" applyAlignment="1" applyProtection="1">
      <alignment horizontal="left"/>
      <protection locked="0"/>
    </xf>
    <xf numFmtId="1" fontId="16" fillId="0" borderId="1" xfId="372" applyNumberFormat="1" applyBorder="1" applyAlignment="1">
      <alignment horizontal="right"/>
    </xf>
    <xf numFmtId="4" fontId="6" fillId="4" borderId="14" xfId="0" applyNumberFormat="1" applyFont="1" applyFill="1" applyBorder="1" applyAlignment="1">
      <alignment horizontal="right"/>
    </xf>
    <xf numFmtId="4" fontId="6" fillId="4" borderId="22" xfId="0" applyNumberFormat="1" applyFont="1" applyFill="1" applyBorder="1" applyAlignment="1">
      <alignment horizontal="right"/>
    </xf>
    <xf numFmtId="2" fontId="48" fillId="0" borderId="0" xfId="372" applyNumberFormat="1" applyFont="1" applyProtection="1">
      <protection locked="0"/>
    </xf>
    <xf numFmtId="0" fontId="16" fillId="2" borderId="6" xfId="372" applyFill="1" applyBorder="1" applyAlignment="1" applyProtection="1">
      <alignment horizontal="center"/>
      <protection locked="0"/>
    </xf>
    <xf numFmtId="0" fontId="48" fillId="4" borderId="14" xfId="372" applyFont="1" applyFill="1" applyBorder="1" applyAlignment="1" applyProtection="1">
      <alignment horizontal="right"/>
      <protection locked="0"/>
    </xf>
    <xf numFmtId="0" fontId="31" fillId="0" borderId="58" xfId="372" applyFont="1" applyBorder="1" applyAlignment="1">
      <alignment horizontal="center" vertical="center" wrapText="1"/>
    </xf>
    <xf numFmtId="0" fontId="31" fillId="0" borderId="70" xfId="372" applyFont="1" applyBorder="1" applyAlignment="1">
      <alignment horizontal="center" vertical="center" wrapText="1"/>
    </xf>
    <xf numFmtId="2" fontId="16" fillId="4" borderId="29" xfId="372" applyNumberFormat="1" applyFill="1" applyBorder="1" applyAlignment="1">
      <alignment horizontal="right"/>
    </xf>
    <xf numFmtId="2" fontId="16" fillId="4" borderId="44" xfId="372" applyNumberFormat="1" applyFill="1" applyBorder="1" applyAlignment="1">
      <alignment horizontal="right"/>
    </xf>
    <xf numFmtId="0" fontId="48" fillId="12" borderId="13" xfId="372" applyFont="1" applyFill="1" applyBorder="1"/>
    <xf numFmtId="0" fontId="48" fillId="12" borderId="5" xfId="372" applyFont="1" applyFill="1" applyBorder="1"/>
    <xf numFmtId="0" fontId="48" fillId="12" borderId="6" xfId="372" applyFont="1" applyFill="1" applyBorder="1"/>
    <xf numFmtId="0" fontId="64" fillId="2" borderId="56" xfId="372" applyFont="1" applyFill="1" applyBorder="1" applyAlignment="1">
      <alignment horizontal="center"/>
    </xf>
    <xf numFmtId="49" fontId="0" fillId="7" borderId="1" xfId="0" applyNumberFormat="1" applyFill="1" applyBorder="1" applyAlignment="1">
      <alignment horizontal="center" wrapText="1"/>
    </xf>
    <xf numFmtId="0" fontId="8" fillId="4" borderId="14" xfId="0" applyFont="1" applyFill="1" applyBorder="1" applyAlignment="1">
      <alignment horizontal="right"/>
    </xf>
    <xf numFmtId="0" fontId="103" fillId="0" borderId="0" xfId="0" applyFont="1" applyAlignment="1">
      <alignment wrapText="1"/>
    </xf>
    <xf numFmtId="0" fontId="72" fillId="0" borderId="0" xfId="0" applyFont="1" applyAlignment="1">
      <alignment horizontal="center" vertical="center"/>
    </xf>
    <xf numFmtId="49" fontId="0" fillId="7" borderId="14" xfId="0" applyNumberFormat="1" applyFill="1" applyBorder="1" applyAlignment="1">
      <alignment horizontal="right"/>
    </xf>
    <xf numFmtId="2" fontId="60" fillId="27" borderId="4" xfId="0" applyNumberFormat="1" applyFont="1" applyFill="1" applyBorder="1" applyAlignment="1">
      <alignment horizontal="center"/>
    </xf>
    <xf numFmtId="0" fontId="62" fillId="5" borderId="14" xfId="0" applyFont="1" applyFill="1" applyBorder="1" applyAlignment="1">
      <alignment vertical="center"/>
    </xf>
    <xf numFmtId="0" fontId="55" fillId="4" borderId="48" xfId="0" applyFont="1" applyFill="1" applyBorder="1" applyAlignment="1">
      <alignment vertical="center"/>
    </xf>
    <xf numFmtId="0" fontId="62" fillId="5" borderId="17" xfId="0" applyFont="1" applyFill="1" applyBorder="1" applyAlignment="1">
      <alignment vertical="center"/>
    </xf>
    <xf numFmtId="4" fontId="6" fillId="4" borderId="17" xfId="0" applyNumberFormat="1" applyFont="1" applyFill="1" applyBorder="1" applyAlignment="1">
      <alignment horizontal="right"/>
    </xf>
    <xf numFmtId="49" fontId="0" fillId="5" borderId="12" xfId="0" applyNumberFormat="1" applyFill="1" applyBorder="1" applyAlignment="1" applyProtection="1">
      <alignment horizontal="center"/>
      <protection locked="0"/>
    </xf>
    <xf numFmtId="4" fontId="0" fillId="5" borderId="18" xfId="0" applyNumberFormat="1" applyFill="1" applyBorder="1" applyAlignment="1" applyProtection="1">
      <alignment horizontal="right"/>
      <protection locked="0"/>
    </xf>
    <xf numFmtId="0" fontId="72" fillId="0" borderId="0" xfId="0" applyFont="1" applyAlignment="1">
      <alignment vertical="center"/>
    </xf>
    <xf numFmtId="0" fontId="106" fillId="0" borderId="0" xfId="505" applyFont="1" applyAlignment="1">
      <alignment horizontal="left" wrapText="1"/>
    </xf>
    <xf numFmtId="0" fontId="49" fillId="0" borderId="0" xfId="505" applyFont="1" applyAlignment="1">
      <alignment vertical="center" wrapText="1"/>
    </xf>
    <xf numFmtId="0" fontId="48" fillId="34" borderId="0" xfId="372" applyFont="1" applyFill="1"/>
    <xf numFmtId="0" fontId="91" fillId="24" borderId="0" xfId="372" applyFont="1" applyFill="1"/>
    <xf numFmtId="0" fontId="52" fillId="25" borderId="0" xfId="372" applyFont="1" applyFill="1"/>
    <xf numFmtId="0" fontId="52" fillId="15" borderId="0" xfId="372" applyFont="1" applyFill="1"/>
    <xf numFmtId="0" fontId="91" fillId="14" borderId="0" xfId="372" applyFont="1" applyFill="1"/>
    <xf numFmtId="0" fontId="94" fillId="13" borderId="0" xfId="372" applyFont="1" applyFill="1"/>
    <xf numFmtId="0" fontId="91" fillId="13" borderId="0" xfId="372" applyFont="1" applyFill="1"/>
    <xf numFmtId="0" fontId="94" fillId="37" borderId="0" xfId="372" applyFont="1" applyFill="1"/>
    <xf numFmtId="0" fontId="91" fillId="37" borderId="0" xfId="372" applyFont="1" applyFill="1"/>
    <xf numFmtId="0" fontId="94" fillId="36" borderId="0" xfId="372" applyFont="1" applyFill="1"/>
    <xf numFmtId="0" fontId="91" fillId="36" borderId="0" xfId="372" applyFont="1" applyFill="1"/>
    <xf numFmtId="0" fontId="94" fillId="38" borderId="0" xfId="372" applyFont="1" applyFill="1"/>
    <xf numFmtId="0" fontId="91" fillId="38" borderId="0" xfId="372" applyFont="1" applyFill="1"/>
    <xf numFmtId="0" fontId="94" fillId="35" borderId="0" xfId="372" applyFont="1" applyFill="1"/>
    <xf numFmtId="0" fontId="91" fillId="35" borderId="0" xfId="372" applyFont="1" applyFill="1"/>
    <xf numFmtId="0" fontId="107" fillId="39" borderId="0" xfId="372" applyFont="1" applyFill="1"/>
    <xf numFmtId="0" fontId="52" fillId="39" borderId="0" xfId="372" applyFont="1" applyFill="1"/>
    <xf numFmtId="0" fontId="107" fillId="40" borderId="0" xfId="372" applyFont="1" applyFill="1"/>
    <xf numFmtId="0" fontId="52" fillId="40" borderId="0" xfId="372" applyFont="1" applyFill="1"/>
    <xf numFmtId="0" fontId="91" fillId="17" borderId="0" xfId="372" applyFont="1" applyFill="1"/>
    <xf numFmtId="0" fontId="91" fillId="41" borderId="0" xfId="372" applyFont="1" applyFill="1"/>
    <xf numFmtId="0" fontId="91" fillId="3" borderId="0" xfId="372" applyFont="1" applyFill="1"/>
    <xf numFmtId="0" fontId="91" fillId="32" borderId="0" xfId="372" applyFont="1" applyFill="1"/>
    <xf numFmtId="0" fontId="91" fillId="20" borderId="0" xfId="372" applyFont="1" applyFill="1"/>
    <xf numFmtId="0" fontId="52" fillId="30" borderId="0" xfId="372" applyFont="1" applyFill="1"/>
    <xf numFmtId="0" fontId="91" fillId="7" borderId="0" xfId="372" applyFont="1" applyFill="1"/>
    <xf numFmtId="0" fontId="91" fillId="11" borderId="0" xfId="0" applyFont="1" applyFill="1"/>
    <xf numFmtId="0" fontId="16" fillId="8" borderId="4" xfId="372" applyFill="1" applyBorder="1" applyAlignment="1">
      <alignment horizontal="center"/>
    </xf>
    <xf numFmtId="0" fontId="16" fillId="8" borderId="5" xfId="372" applyFill="1" applyBorder="1" applyAlignment="1">
      <alignment horizontal="center"/>
    </xf>
    <xf numFmtId="0" fontId="16" fillId="8" borderId="3" xfId="372" applyFill="1" applyBorder="1" applyAlignment="1">
      <alignment horizontal="center"/>
    </xf>
    <xf numFmtId="0" fontId="52" fillId="0" borderId="3" xfId="372" applyFont="1" applyBorder="1" applyAlignment="1">
      <alignment horizontal="center"/>
    </xf>
    <xf numFmtId="0" fontId="52" fillId="0" borderId="0" xfId="372" applyFont="1" applyAlignment="1">
      <alignment horizontal="center"/>
    </xf>
    <xf numFmtId="0" fontId="52" fillId="0" borderId="46" xfId="372" applyFont="1" applyBorder="1" applyAlignment="1">
      <alignment horizontal="center"/>
    </xf>
    <xf numFmtId="0" fontId="16" fillId="8" borderId="0" xfId="372" applyFill="1" applyAlignment="1">
      <alignment horizontal="center"/>
    </xf>
    <xf numFmtId="0" fontId="16" fillId="8" borderId="34" xfId="372" applyFill="1" applyBorder="1" applyAlignment="1">
      <alignment horizontal="center"/>
    </xf>
    <xf numFmtId="0" fontId="16" fillId="8" borderId="27" xfId="372" applyFill="1" applyBorder="1" applyAlignment="1">
      <alignment horizontal="center"/>
    </xf>
    <xf numFmtId="2" fontId="16" fillId="8" borderId="5" xfId="372" applyNumberFormat="1" applyFill="1" applyBorder="1" applyAlignment="1">
      <alignment horizontal="center"/>
    </xf>
    <xf numFmtId="2" fontId="16" fillId="8" borderId="5" xfId="372" applyNumberFormat="1" applyFill="1" applyBorder="1" applyAlignment="1">
      <alignment horizontal="left"/>
    </xf>
    <xf numFmtId="1" fontId="16" fillId="8" borderId="4" xfId="372" applyNumberFormat="1" applyFill="1" applyBorder="1" applyAlignment="1">
      <alignment horizontal="center"/>
    </xf>
    <xf numFmtId="0" fontId="16" fillId="8" borderId="10" xfId="372" applyFill="1" applyBorder="1" applyAlignment="1">
      <alignment horizontal="left"/>
    </xf>
    <xf numFmtId="0" fontId="16" fillId="8" borderId="5" xfId="372" applyFill="1" applyBorder="1" applyAlignment="1">
      <alignment horizontal="left"/>
    </xf>
    <xf numFmtId="0" fontId="41" fillId="8" borderId="10" xfId="372" applyFont="1" applyFill="1" applyBorder="1" applyAlignment="1">
      <alignment horizontal="center"/>
    </xf>
    <xf numFmtId="0" fontId="41" fillId="8" borderId="5" xfId="372" applyFont="1" applyFill="1" applyBorder="1" applyAlignment="1">
      <alignment horizontal="center"/>
    </xf>
    <xf numFmtId="0" fontId="41" fillId="8" borderId="6" xfId="372" applyFont="1" applyFill="1" applyBorder="1" applyAlignment="1">
      <alignment horizontal="center"/>
    </xf>
    <xf numFmtId="1" fontId="41" fillId="8" borderId="6" xfId="372" applyNumberFormat="1" applyFont="1" applyFill="1" applyBorder="1" applyAlignment="1">
      <alignment horizontal="left"/>
    </xf>
    <xf numFmtId="0" fontId="41" fillId="8" borderId="7" xfId="372" applyFont="1" applyFill="1" applyBorder="1" applyAlignment="1">
      <alignment horizontal="center"/>
    </xf>
    <xf numFmtId="0" fontId="16" fillId="0" borderId="85" xfId="372" applyBorder="1" applyProtection="1">
      <protection locked="0"/>
    </xf>
    <xf numFmtId="1" fontId="41" fillId="8" borderId="46" xfId="372" applyNumberFormat="1" applyFont="1" applyFill="1" applyBorder="1" applyAlignment="1">
      <alignment horizontal="center"/>
    </xf>
    <xf numFmtId="0" fontId="16" fillId="8" borderId="0" xfId="372" applyFill="1" applyAlignment="1">
      <alignment horizontal="left"/>
    </xf>
    <xf numFmtId="0" fontId="41" fillId="8" borderId="0" xfId="372" applyFont="1" applyFill="1" applyAlignment="1">
      <alignment horizontal="center"/>
    </xf>
    <xf numFmtId="0" fontId="16" fillId="8" borderId="27" xfId="372" applyFill="1" applyBorder="1" applyAlignment="1">
      <alignment horizontal="left"/>
    </xf>
    <xf numFmtId="0" fontId="41" fillId="8" borderId="19" xfId="372" applyFont="1" applyFill="1" applyBorder="1" applyAlignment="1">
      <alignment horizontal="center"/>
    </xf>
    <xf numFmtId="1" fontId="16" fillId="8" borderId="34" xfId="372" applyNumberFormat="1" applyFill="1" applyBorder="1" applyAlignment="1">
      <alignment horizontal="center"/>
    </xf>
    <xf numFmtId="2" fontId="16" fillId="8" borderId="27" xfId="372" applyNumberFormat="1" applyFill="1" applyBorder="1" applyAlignment="1">
      <alignment horizontal="center"/>
    </xf>
    <xf numFmtId="2" fontId="16" fillId="8" borderId="27" xfId="372" applyNumberFormat="1" applyFill="1" applyBorder="1" applyAlignment="1">
      <alignment horizontal="left"/>
    </xf>
    <xf numFmtId="1" fontId="41" fillId="8" borderId="19" xfId="372" applyNumberFormat="1" applyFont="1" applyFill="1" applyBorder="1" applyAlignment="1">
      <alignment horizontal="left"/>
    </xf>
    <xf numFmtId="0" fontId="41" fillId="8" borderId="46" xfId="372" applyFont="1" applyFill="1" applyBorder="1" applyAlignment="1">
      <alignment horizontal="center"/>
    </xf>
    <xf numFmtId="0" fontId="17" fillId="0" borderId="20" xfId="372" applyFont="1" applyBorder="1" applyAlignment="1">
      <alignment horizontal="centerContinuous"/>
    </xf>
    <xf numFmtId="0" fontId="47" fillId="0" borderId="21" xfId="372" applyFont="1" applyBorder="1" applyAlignment="1">
      <alignment horizontal="centerContinuous"/>
    </xf>
    <xf numFmtId="0" fontId="17" fillId="0" borderId="21" xfId="372" applyFont="1" applyBorder="1" applyAlignment="1">
      <alignment horizontal="centerContinuous"/>
    </xf>
    <xf numFmtId="0" fontId="47" fillId="0" borderId="21" xfId="372" applyFont="1" applyBorder="1" applyAlignment="1">
      <alignment horizontal="centerContinuous" vertical="top"/>
    </xf>
    <xf numFmtId="0" fontId="47" fillId="0" borderId="22" xfId="372" applyFont="1" applyBorder="1" applyAlignment="1">
      <alignment horizontal="centerContinuous" vertical="top"/>
    </xf>
    <xf numFmtId="0" fontId="46" fillId="0" borderId="20" xfId="372" applyFont="1" applyBorder="1" applyAlignment="1">
      <alignment horizontal="centerContinuous"/>
    </xf>
    <xf numFmtId="0" fontId="45" fillId="0" borderId="21" xfId="372" applyFont="1" applyBorder="1" applyAlignment="1">
      <alignment horizontal="centerContinuous"/>
    </xf>
    <xf numFmtId="167" fontId="46" fillId="0" borderId="21" xfId="372" applyNumberFormat="1" applyFont="1" applyBorder="1" applyAlignment="1">
      <alignment horizontal="centerContinuous"/>
    </xf>
    <xf numFmtId="167" fontId="45" fillId="0" borderId="21" xfId="372" applyNumberFormat="1" applyFont="1" applyBorder="1" applyAlignment="1">
      <alignment horizontal="centerContinuous" vertical="top"/>
    </xf>
    <xf numFmtId="0" fontId="46" fillId="0" borderId="21" xfId="372" applyFont="1" applyBorder="1" applyAlignment="1">
      <alignment horizontal="centerContinuous"/>
    </xf>
    <xf numFmtId="1" fontId="46" fillId="0" borderId="21" xfId="372" applyNumberFormat="1" applyFont="1" applyBorder="1" applyAlignment="1">
      <alignment horizontal="centerContinuous"/>
    </xf>
    <xf numFmtId="167" fontId="45" fillId="0" borderId="22" xfId="372" applyNumberFormat="1" applyFont="1" applyBorder="1" applyAlignment="1">
      <alignment horizontal="centerContinuous" vertical="top"/>
    </xf>
    <xf numFmtId="0" fontId="16" fillId="0" borderId="5" xfId="372" applyBorder="1" applyAlignment="1" applyProtection="1">
      <alignment wrapText="1"/>
      <protection locked="0"/>
    </xf>
    <xf numFmtId="1" fontId="41" fillId="8" borderId="5" xfId="372" applyNumberFormat="1" applyFont="1" applyFill="1" applyBorder="1" applyAlignment="1">
      <alignment horizontal="left" wrapText="1"/>
    </xf>
    <xf numFmtId="0" fontId="16" fillId="8" borderId="5" xfId="372" applyFill="1" applyBorder="1" applyAlignment="1">
      <alignment horizontal="left" wrapText="1"/>
    </xf>
    <xf numFmtId="0" fontId="41" fillId="8" borderId="5" xfId="372" applyFont="1" applyFill="1" applyBorder="1" applyAlignment="1">
      <alignment horizontal="left" wrapText="1"/>
    </xf>
    <xf numFmtId="1" fontId="16" fillId="8" borderId="5" xfId="372" applyNumberFormat="1" applyFill="1" applyBorder="1" applyAlignment="1">
      <alignment horizontal="center"/>
    </xf>
    <xf numFmtId="1" fontId="16" fillId="8" borderId="5" xfId="372" applyNumberFormat="1" applyFill="1" applyBorder="1" applyAlignment="1">
      <alignment horizontal="left" wrapText="1"/>
    </xf>
    <xf numFmtId="1" fontId="31" fillId="11" borderId="6" xfId="374" applyNumberFormat="1" applyFont="1" applyFill="1" applyBorder="1" applyAlignment="1">
      <alignment horizontal="right"/>
    </xf>
    <xf numFmtId="1" fontId="31" fillId="12" borderId="6" xfId="374" applyNumberFormat="1" applyFont="1" applyFill="1" applyBorder="1" applyAlignment="1">
      <alignment horizontal="right"/>
    </xf>
    <xf numFmtId="0" fontId="49" fillId="13" borderId="4" xfId="374" applyFont="1" applyFill="1" applyBorder="1"/>
    <xf numFmtId="0" fontId="49" fillId="13" borderId="5" xfId="374" applyFont="1" applyFill="1" applyBorder="1"/>
    <xf numFmtId="0" fontId="99" fillId="13" borderId="5" xfId="374" applyFont="1" applyFill="1" applyBorder="1" applyAlignment="1">
      <alignment horizontal="right"/>
    </xf>
    <xf numFmtId="0" fontId="49" fillId="13" borderId="6" xfId="374" applyFont="1" applyFill="1" applyBorder="1" applyAlignment="1">
      <alignment horizontal="right"/>
    </xf>
    <xf numFmtId="0" fontId="49" fillId="34" borderId="4" xfId="374" applyFont="1" applyFill="1" applyBorder="1"/>
    <xf numFmtId="0" fontId="49" fillId="34" borderId="5" xfId="374" applyFont="1" applyFill="1" applyBorder="1"/>
    <xf numFmtId="0" fontId="99" fillId="34" borderId="5" xfId="374" applyFont="1" applyFill="1" applyBorder="1" applyAlignment="1">
      <alignment horizontal="right"/>
    </xf>
    <xf numFmtId="0" fontId="49" fillId="34" borderId="6" xfId="374" applyFont="1" applyFill="1" applyBorder="1" applyAlignment="1">
      <alignment horizontal="right"/>
    </xf>
    <xf numFmtId="0" fontId="31" fillId="24" borderId="4" xfId="374" applyFont="1" applyFill="1" applyBorder="1"/>
    <xf numFmtId="0" fontId="31" fillId="24" borderId="5" xfId="374" applyFont="1" applyFill="1" applyBorder="1"/>
    <xf numFmtId="0" fontId="31" fillId="24" borderId="5" xfId="374" applyFont="1" applyFill="1" applyBorder="1" applyAlignment="1">
      <alignment horizontal="right"/>
    </xf>
    <xf numFmtId="0" fontId="31" fillId="24" borderId="6" xfId="374" applyFont="1" applyFill="1" applyBorder="1"/>
    <xf numFmtId="0" fontId="54" fillId="15" borderId="4" xfId="374" applyFont="1" applyFill="1" applyBorder="1"/>
    <xf numFmtId="0" fontId="54" fillId="15" borderId="5" xfId="374" applyFont="1" applyFill="1" applyBorder="1"/>
    <xf numFmtId="0" fontId="54" fillId="15" borderId="5" xfId="374" applyFont="1" applyFill="1" applyBorder="1" applyAlignment="1">
      <alignment horizontal="right"/>
    </xf>
    <xf numFmtId="0" fontId="54" fillId="15" borderId="6" xfId="374" applyFont="1" applyFill="1" applyBorder="1" applyAlignment="1">
      <alignment horizontal="right"/>
    </xf>
    <xf numFmtId="0" fontId="54" fillId="25" borderId="23" xfId="374" applyFont="1" applyFill="1" applyBorder="1"/>
    <xf numFmtId="0" fontId="54" fillId="25" borderId="24" xfId="374" applyFont="1" applyFill="1" applyBorder="1"/>
    <xf numFmtId="0" fontId="54" fillId="25" borderId="24" xfId="374" applyFont="1" applyFill="1" applyBorder="1" applyAlignment="1">
      <alignment horizontal="right"/>
    </xf>
    <xf numFmtId="0" fontId="54" fillId="25" borderId="25" xfId="374" applyFont="1" applyFill="1" applyBorder="1" applyAlignment="1">
      <alignment horizontal="right"/>
    </xf>
    <xf numFmtId="0" fontId="49" fillId="14" borderId="4" xfId="374" applyFont="1" applyFill="1" applyBorder="1"/>
    <xf numFmtId="0" fontId="49" fillId="14" borderId="5" xfId="374" applyFont="1" applyFill="1" applyBorder="1"/>
    <xf numFmtId="0" fontId="99" fillId="14" borderId="5" xfId="374" applyFont="1" applyFill="1" applyBorder="1" applyAlignment="1">
      <alignment horizontal="right"/>
    </xf>
    <xf numFmtId="0" fontId="49" fillId="14" borderId="6" xfId="374" applyFont="1" applyFill="1" applyBorder="1" applyAlignment="1">
      <alignment horizontal="right"/>
    </xf>
    <xf numFmtId="0" fontId="49" fillId="3" borderId="4" xfId="374" applyFont="1" applyFill="1" applyBorder="1"/>
    <xf numFmtId="0" fontId="49" fillId="3" borderId="5" xfId="374" applyFont="1" applyFill="1" applyBorder="1"/>
    <xf numFmtId="0" fontId="99" fillId="3" borderId="5" xfId="374" applyFont="1" applyFill="1" applyBorder="1" applyAlignment="1">
      <alignment horizontal="right"/>
    </xf>
    <xf numFmtId="0" fontId="49" fillId="3" borderId="6" xfId="374" applyFont="1" applyFill="1" applyBorder="1" applyAlignment="1">
      <alignment horizontal="right"/>
    </xf>
    <xf numFmtId="0" fontId="49" fillId="41" borderId="4" xfId="374" applyFont="1" applyFill="1" applyBorder="1"/>
    <xf numFmtId="0" fontId="49" fillId="41" borderId="5" xfId="374" applyFont="1" applyFill="1" applyBorder="1"/>
    <xf numFmtId="0" fontId="99" fillId="41" borderId="5" xfId="374" applyFont="1" applyFill="1" applyBorder="1" applyAlignment="1">
      <alignment horizontal="right"/>
    </xf>
    <xf numFmtId="0" fontId="49" fillId="41" borderId="6" xfId="374" applyFont="1" applyFill="1" applyBorder="1" applyAlignment="1">
      <alignment horizontal="right"/>
    </xf>
    <xf numFmtId="0" fontId="49" fillId="17" borderId="4" xfId="374" applyFont="1" applyFill="1" applyBorder="1"/>
    <xf numFmtId="0" fontId="49" fillId="17" borderId="5" xfId="374" applyFont="1" applyFill="1" applyBorder="1"/>
    <xf numFmtId="0" fontId="99" fillId="17" borderId="5" xfId="374" applyFont="1" applyFill="1" applyBorder="1" applyAlignment="1">
      <alignment horizontal="right"/>
    </xf>
    <xf numFmtId="0" fontId="49" fillId="17" borderId="6" xfId="374" applyFont="1" applyFill="1" applyBorder="1" applyAlignment="1">
      <alignment horizontal="right"/>
    </xf>
    <xf numFmtId="0" fontId="49" fillId="36" borderId="4" xfId="374" applyFont="1" applyFill="1" applyBorder="1"/>
    <xf numFmtId="0" fontId="49" fillId="36" borderId="5" xfId="374" applyFont="1" applyFill="1" applyBorder="1"/>
    <xf numFmtId="0" fontId="99" fillId="36" borderId="5" xfId="374" applyFont="1" applyFill="1" applyBorder="1" applyAlignment="1">
      <alignment horizontal="right"/>
    </xf>
    <xf numFmtId="0" fontId="49" fillId="36" borderId="6" xfId="374" applyFont="1" applyFill="1" applyBorder="1" applyAlignment="1">
      <alignment horizontal="right"/>
    </xf>
    <xf numFmtId="0" fontId="49" fillId="37" borderId="4" xfId="374" applyFont="1" applyFill="1" applyBorder="1"/>
    <xf numFmtId="0" fontId="49" fillId="37" borderId="5" xfId="374" applyFont="1" applyFill="1" applyBorder="1"/>
    <xf numFmtId="0" fontId="99" fillId="37" borderId="5" xfId="374" applyFont="1" applyFill="1" applyBorder="1" applyAlignment="1">
      <alignment horizontal="right"/>
    </xf>
    <xf numFmtId="0" fontId="49" fillId="37" borderId="6" xfId="374" applyFont="1" applyFill="1" applyBorder="1" applyAlignment="1">
      <alignment horizontal="right"/>
    </xf>
    <xf numFmtId="0" fontId="49" fillId="38" borderId="4" xfId="374" applyFont="1" applyFill="1" applyBorder="1"/>
    <xf numFmtId="0" fontId="49" fillId="38" borderId="5" xfId="374" applyFont="1" applyFill="1" applyBorder="1"/>
    <xf numFmtId="0" fontId="99" fillId="38" borderId="5" xfId="374" applyFont="1" applyFill="1" applyBorder="1" applyAlignment="1">
      <alignment horizontal="right"/>
    </xf>
    <xf numFmtId="0" fontId="49" fillId="38" borderId="6" xfId="374" applyFont="1" applyFill="1" applyBorder="1" applyAlignment="1">
      <alignment horizontal="right"/>
    </xf>
    <xf numFmtId="0" fontId="49" fillId="35" borderId="4" xfId="374" applyFont="1" applyFill="1" applyBorder="1"/>
    <xf numFmtId="0" fontId="49" fillId="35" borderId="5" xfId="374" applyFont="1" applyFill="1" applyBorder="1"/>
    <xf numFmtId="0" fontId="99" fillId="35" borderId="5" xfId="374" applyFont="1" applyFill="1" applyBorder="1" applyAlignment="1">
      <alignment horizontal="right"/>
    </xf>
    <xf numFmtId="0" fontId="49" fillId="35" borderId="6" xfId="374" applyFont="1" applyFill="1" applyBorder="1" applyAlignment="1">
      <alignment horizontal="right"/>
    </xf>
    <xf numFmtId="0" fontId="54" fillId="39" borderId="4" xfId="374" applyFont="1" applyFill="1" applyBorder="1"/>
    <xf numFmtId="0" fontId="54" fillId="39" borderId="5" xfId="374" applyFont="1" applyFill="1" applyBorder="1"/>
    <xf numFmtId="0" fontId="108" fillId="39" borderId="5" xfId="374" applyFont="1" applyFill="1" applyBorder="1" applyAlignment="1">
      <alignment horizontal="right"/>
    </xf>
    <xf numFmtId="0" fontId="54" fillId="39" borderId="6" xfId="374" applyFont="1" applyFill="1" applyBorder="1" applyAlignment="1">
      <alignment horizontal="right"/>
    </xf>
    <xf numFmtId="0" fontId="54" fillId="40" borderId="4" xfId="374" applyFont="1" applyFill="1" applyBorder="1"/>
    <xf numFmtId="0" fontId="54" fillId="40" borderId="5" xfId="374" applyFont="1" applyFill="1" applyBorder="1"/>
    <xf numFmtId="0" fontId="108" fillId="40" borderId="5" xfId="374" applyFont="1" applyFill="1" applyBorder="1" applyAlignment="1">
      <alignment horizontal="right"/>
    </xf>
    <xf numFmtId="0" fontId="54" fillId="40" borderId="6" xfId="374" applyFont="1" applyFill="1" applyBorder="1" applyAlignment="1">
      <alignment horizontal="right"/>
    </xf>
    <xf numFmtId="0" fontId="49" fillId="0" borderId="3" xfId="374" applyFont="1" applyBorder="1" applyAlignment="1">
      <alignment horizontal="right"/>
    </xf>
    <xf numFmtId="0" fontId="49" fillId="0" borderId="46" xfId="374" applyFont="1" applyBorder="1" applyAlignment="1">
      <alignment horizontal="right"/>
    </xf>
    <xf numFmtId="0" fontId="49" fillId="0" borderId="0" xfId="374" applyFont="1" applyAlignment="1">
      <alignment horizontal="right"/>
    </xf>
    <xf numFmtId="0" fontId="58" fillId="4" borderId="0" xfId="0" applyFont="1" applyFill="1" applyAlignment="1">
      <alignment horizontal="left" wrapText="1"/>
    </xf>
    <xf numFmtId="0" fontId="37" fillId="34" borderId="0" xfId="505" applyFont="1" applyFill="1" applyAlignment="1">
      <alignment horizontal="justify" vertical="justify"/>
    </xf>
    <xf numFmtId="0" fontId="37" fillId="24" borderId="0" xfId="505" applyFont="1" applyFill="1" applyAlignment="1">
      <alignment horizontal="justify" vertical="justify"/>
    </xf>
    <xf numFmtId="0" fontId="56" fillId="15" borderId="0" xfId="505" applyFont="1" applyFill="1" applyAlignment="1">
      <alignment horizontal="justify" vertical="justify"/>
    </xf>
    <xf numFmtId="0" fontId="56" fillId="25" borderId="0" xfId="505" applyFont="1" applyFill="1" applyAlignment="1">
      <alignment horizontal="justify" vertical="justify"/>
    </xf>
    <xf numFmtId="0" fontId="31" fillId="36" borderId="0" xfId="505" applyFill="1" applyAlignment="1">
      <alignment horizontal="justify" vertical="justify" wrapText="1"/>
    </xf>
    <xf numFmtId="0" fontId="31" fillId="37" borderId="0" xfId="505" applyFill="1" applyAlignment="1">
      <alignment horizontal="justify" vertical="justify" wrapText="1"/>
    </xf>
    <xf numFmtId="0" fontId="31" fillId="38" borderId="0" xfId="505" applyFill="1" applyAlignment="1">
      <alignment horizontal="justify" vertical="justify" wrapText="1"/>
    </xf>
    <xf numFmtId="0" fontId="31" fillId="35" borderId="0" xfId="505" applyFill="1" applyAlignment="1">
      <alignment horizontal="justify" vertical="justify" wrapText="1"/>
    </xf>
    <xf numFmtId="0" fontId="54" fillId="39" borderId="0" xfId="505" applyFont="1" applyFill="1" applyAlignment="1">
      <alignment horizontal="justify" vertical="justify" wrapText="1"/>
    </xf>
    <xf numFmtId="0" fontId="54" fillId="40" borderId="0" xfId="505" applyFont="1" applyFill="1" applyAlignment="1">
      <alignment horizontal="justify" vertical="justify" wrapText="1"/>
    </xf>
    <xf numFmtId="0" fontId="31" fillId="20" borderId="0" xfId="505" applyFill="1" applyAlignment="1">
      <alignment horizontal="justify" vertical="justify" wrapText="1"/>
    </xf>
    <xf numFmtId="0" fontId="31" fillId="17" borderId="0" xfId="505" applyFill="1" applyAlignment="1">
      <alignment horizontal="justify" vertical="justify" wrapText="1"/>
    </xf>
    <xf numFmtId="0" fontId="41" fillId="0" borderId="0" xfId="374" applyFont="1"/>
    <xf numFmtId="0" fontId="54" fillId="25" borderId="4" xfId="374" applyFont="1" applyFill="1" applyBorder="1"/>
    <xf numFmtId="0" fontId="107" fillId="25" borderId="5" xfId="374" applyFont="1" applyFill="1" applyBorder="1"/>
    <xf numFmtId="0" fontId="107" fillId="15" borderId="5" xfId="374" applyFont="1" applyFill="1" applyBorder="1"/>
    <xf numFmtId="0" fontId="41" fillId="24" borderId="5" xfId="374" applyFont="1" applyFill="1" applyBorder="1"/>
    <xf numFmtId="0" fontId="31" fillId="34" borderId="4" xfId="374" applyFont="1" applyFill="1" applyBorder="1"/>
    <xf numFmtId="0" fontId="41" fillId="34" borderId="5" xfId="374" applyFont="1" applyFill="1" applyBorder="1"/>
    <xf numFmtId="2" fontId="16" fillId="3" borderId="1" xfId="372" applyNumberFormat="1" applyFill="1" applyBorder="1" applyAlignment="1" applyProtection="1">
      <alignment horizontal="center" vertical="center"/>
      <protection locked="0"/>
    </xf>
    <xf numFmtId="0" fontId="48" fillId="0" borderId="1" xfId="372" applyFont="1" applyBorder="1" applyAlignment="1" applyProtection="1">
      <alignment horizontal="left"/>
      <protection locked="0"/>
    </xf>
    <xf numFmtId="0" fontId="48" fillId="0" borderId="14" xfId="372" applyFont="1" applyBorder="1" applyAlignment="1" applyProtection="1">
      <alignment horizontal="left"/>
      <protection locked="0"/>
    </xf>
    <xf numFmtId="2" fontId="16" fillId="3" borderId="14" xfId="372" applyNumberFormat="1" applyFill="1" applyBorder="1" applyAlignment="1" applyProtection="1">
      <alignment horizontal="center" vertical="center"/>
      <protection locked="0"/>
    </xf>
    <xf numFmtId="0" fontId="26" fillId="8" borderId="5" xfId="372" applyFont="1" applyFill="1" applyBorder="1" applyAlignment="1">
      <alignment horizontal="left" wrapText="1"/>
    </xf>
    <xf numFmtId="0" fontId="14" fillId="2" borderId="0" xfId="0" applyFont="1" applyFill="1" applyAlignment="1">
      <alignment horizontal="center" vertical="center"/>
    </xf>
    <xf numFmtId="0" fontId="16" fillId="4" borderId="55" xfId="372" applyFill="1" applyBorder="1" applyAlignment="1">
      <alignment horizontal="center" vertical="center" wrapText="1"/>
    </xf>
    <xf numFmtId="0" fontId="0" fillId="5" borderId="27" xfId="0" applyFill="1" applyBorder="1" applyAlignment="1">
      <alignment horizontal="left" vertical="center"/>
    </xf>
    <xf numFmtId="0" fontId="73" fillId="0" borderId="0" xfId="0" applyFont="1" applyAlignment="1">
      <alignment horizontal="left" vertical="center" wrapText="1"/>
    </xf>
    <xf numFmtId="0" fontId="73" fillId="0" borderId="0" xfId="0" applyFont="1" applyAlignment="1">
      <alignment horizontal="center" vertical="center"/>
    </xf>
    <xf numFmtId="1" fontId="27" fillId="0" borderId="10" xfId="374" applyNumberFormat="1" applyFont="1" applyBorder="1"/>
    <xf numFmtId="1" fontId="28" fillId="0" borderId="10" xfId="372" applyNumberFormat="1" applyFont="1" applyBorder="1" applyAlignment="1">
      <alignment horizontal="center"/>
    </xf>
    <xf numFmtId="1" fontId="0" fillId="0" borderId="0" xfId="0" applyNumberFormat="1"/>
    <xf numFmtId="0" fontId="0" fillId="5" borderId="34" xfId="0" applyFill="1" applyBorder="1" applyAlignment="1">
      <alignment vertical="center"/>
    </xf>
    <xf numFmtId="0" fontId="0" fillId="5" borderId="27" xfId="0" applyFill="1" applyBorder="1" applyAlignment="1">
      <alignment vertical="center"/>
    </xf>
    <xf numFmtId="0" fontId="0" fillId="5" borderId="4" xfId="0" applyFill="1" applyBorder="1" applyAlignment="1">
      <alignment vertical="center"/>
    </xf>
    <xf numFmtId="0" fontId="0" fillId="5" borderId="5" xfId="0" applyFill="1" applyBorder="1" applyAlignment="1">
      <alignment vertical="center"/>
    </xf>
    <xf numFmtId="0" fontId="0" fillId="5" borderId="10" xfId="0" applyFill="1" applyBorder="1"/>
    <xf numFmtId="177" fontId="0" fillId="5" borderId="27" xfId="0" applyNumberFormat="1" applyFill="1" applyBorder="1" applyAlignment="1">
      <alignment horizontal="left"/>
    </xf>
    <xf numFmtId="166" fontId="0" fillId="3" borderId="9" xfId="0" applyNumberFormat="1" applyFill="1" applyBorder="1" applyAlignment="1" applyProtection="1">
      <alignment horizontal="center"/>
      <protection locked="0"/>
    </xf>
    <xf numFmtId="0" fontId="73" fillId="0" borderId="0" xfId="0" applyFont="1" applyAlignment="1">
      <alignment vertical="center"/>
    </xf>
    <xf numFmtId="166" fontId="0" fillId="5" borderId="4" xfId="0" applyNumberFormat="1" applyFill="1" applyBorder="1" applyAlignment="1">
      <alignment horizontal="center"/>
    </xf>
    <xf numFmtId="2" fontId="0" fillId="5" borderId="55" xfId="0" applyNumberFormat="1" applyFill="1" applyBorder="1" applyAlignment="1">
      <alignment horizontal="center" wrapText="1"/>
    </xf>
    <xf numFmtId="166" fontId="0" fillId="5" borderId="14" xfId="0" applyNumberFormat="1" applyFill="1" applyBorder="1" applyAlignment="1">
      <alignment horizontal="center"/>
    </xf>
    <xf numFmtId="166" fontId="0" fillId="2" borderId="9" xfId="0" applyNumberFormat="1" applyFill="1" applyBorder="1" applyAlignment="1" applyProtection="1">
      <alignment horizontal="center"/>
      <protection locked="0"/>
    </xf>
    <xf numFmtId="166" fontId="0" fillId="2" borderId="15" xfId="0" applyNumberFormat="1" applyFill="1" applyBorder="1" applyAlignment="1" applyProtection="1">
      <alignment horizontal="center"/>
      <protection locked="0"/>
    </xf>
    <xf numFmtId="0" fontId="0" fillId="5" borderId="20" xfId="0" applyFill="1" applyBorder="1" applyAlignment="1">
      <alignment wrapText="1"/>
    </xf>
    <xf numFmtId="2" fontId="0" fillId="5" borderId="21" xfId="0" applyNumberFormat="1" applyFill="1" applyBorder="1" applyAlignment="1">
      <alignment horizontal="center" wrapText="1"/>
    </xf>
    <xf numFmtId="166" fontId="0" fillId="3" borderId="26" xfId="0" applyNumberFormat="1" applyFill="1" applyBorder="1" applyAlignment="1" applyProtection="1">
      <alignment horizontal="center"/>
      <protection locked="0"/>
    </xf>
    <xf numFmtId="166" fontId="0" fillId="5" borderId="12" xfId="0" applyNumberFormat="1" applyFill="1" applyBorder="1" applyAlignment="1">
      <alignment horizontal="center"/>
    </xf>
    <xf numFmtId="166" fontId="0" fillId="5" borderId="34" xfId="0" applyNumberFormat="1" applyFill="1" applyBorder="1" applyAlignment="1">
      <alignment horizontal="center"/>
    </xf>
    <xf numFmtId="0" fontId="0" fillId="5" borderId="18" xfId="0" applyFill="1" applyBorder="1" applyAlignment="1" applyProtection="1">
      <alignment horizontal="left"/>
      <protection locked="0"/>
    </xf>
    <xf numFmtId="166" fontId="0" fillId="3" borderId="16" xfId="0" applyNumberFormat="1" applyFill="1" applyBorder="1" applyAlignment="1" applyProtection="1">
      <alignment horizontal="center" wrapText="1"/>
      <protection locked="0"/>
    </xf>
    <xf numFmtId="166" fontId="0" fillId="2" borderId="26" xfId="0" applyNumberFormat="1" applyFill="1" applyBorder="1" applyAlignment="1" applyProtection="1">
      <alignment horizontal="center"/>
      <protection locked="0"/>
    </xf>
    <xf numFmtId="0" fontId="72" fillId="23" borderId="45" xfId="0" applyFont="1" applyFill="1" applyBorder="1" applyAlignment="1">
      <alignment horizontal="center" vertical="center"/>
    </xf>
    <xf numFmtId="0" fontId="48" fillId="4" borderId="9" xfId="372" applyFont="1" applyFill="1" applyBorder="1" applyAlignment="1" applyProtection="1">
      <alignment horizontal="left"/>
      <protection locked="0"/>
    </xf>
    <xf numFmtId="0" fontId="48" fillId="4" borderId="15" xfId="372" applyFont="1" applyFill="1" applyBorder="1" applyAlignment="1" applyProtection="1">
      <alignment horizontal="left"/>
      <protection locked="0"/>
    </xf>
    <xf numFmtId="2" fontId="83" fillId="23" borderId="25" xfId="0" applyNumberFormat="1" applyFont="1" applyFill="1" applyBorder="1"/>
    <xf numFmtId="0" fontId="55" fillId="4" borderId="23" xfId="0" applyFont="1" applyFill="1" applyBorder="1"/>
    <xf numFmtId="0" fontId="55" fillId="4" borderId="24" xfId="0" applyFont="1" applyFill="1" applyBorder="1"/>
    <xf numFmtId="4" fontId="55" fillId="4" borderId="25" xfId="0" applyNumberFormat="1" applyFont="1" applyFill="1" applyBorder="1"/>
    <xf numFmtId="2" fontId="60" fillId="27" borderId="9" xfId="0" applyNumberFormat="1" applyFont="1" applyFill="1" applyBorder="1" applyAlignment="1">
      <alignment horizontal="center" wrapText="1"/>
    </xf>
    <xf numFmtId="166" fontId="0" fillId="5" borderId="9" xfId="0" applyNumberFormat="1" applyFill="1" applyBorder="1" applyAlignment="1">
      <alignment horizontal="center"/>
    </xf>
    <xf numFmtId="2" fontId="0" fillId="5" borderId="14" xfId="0" applyNumberFormat="1" applyFill="1" applyBorder="1" applyAlignment="1">
      <alignment horizontal="center"/>
    </xf>
    <xf numFmtId="166" fontId="0" fillId="4" borderId="9" xfId="0" applyNumberFormat="1" applyFill="1" applyBorder="1" applyAlignment="1">
      <alignment horizontal="center"/>
    </xf>
    <xf numFmtId="2" fontId="0" fillId="4" borderId="14" xfId="0" applyNumberFormat="1" applyFill="1" applyBorder="1" applyAlignment="1">
      <alignment horizontal="center"/>
    </xf>
    <xf numFmtId="166" fontId="0" fillId="4" borderId="14" xfId="0" applyNumberFormat="1" applyFill="1" applyBorder="1" applyAlignment="1">
      <alignment horizontal="center"/>
    </xf>
    <xf numFmtId="0" fontId="73" fillId="0" borderId="0" xfId="0" applyFont="1" applyAlignment="1">
      <alignment vertical="center" wrapText="1"/>
    </xf>
    <xf numFmtId="0" fontId="75" fillId="0" borderId="0" xfId="0" applyFont="1" applyAlignment="1">
      <alignment vertical="center" wrapText="1"/>
    </xf>
    <xf numFmtId="166" fontId="0" fillId="5" borderId="18" xfId="0" applyNumberFormat="1" applyFill="1" applyBorder="1" applyAlignment="1">
      <alignment horizontal="center"/>
    </xf>
    <xf numFmtId="0" fontId="0" fillId="5" borderId="41" xfId="0" applyFill="1" applyBorder="1"/>
    <xf numFmtId="166" fontId="0" fillId="3" borderId="90" xfId="0" applyNumberFormat="1" applyFill="1" applyBorder="1" applyAlignment="1" applyProtection="1">
      <alignment horizontal="center" wrapText="1"/>
      <protection locked="0"/>
    </xf>
    <xf numFmtId="0" fontId="14" fillId="23" borderId="58" xfId="0" applyFont="1" applyFill="1" applyBorder="1" applyAlignment="1">
      <alignment horizontal="center" wrapText="1"/>
    </xf>
    <xf numFmtId="0" fontId="14" fillId="23" borderId="70" xfId="0" applyFont="1" applyFill="1" applyBorder="1" applyAlignment="1">
      <alignment horizontal="center" wrapText="1"/>
    </xf>
    <xf numFmtId="0" fontId="0" fillId="4" borderId="59" xfId="0" applyFill="1" applyBorder="1" applyAlignment="1" applyProtection="1">
      <alignment horizontal="left"/>
      <protection locked="0"/>
    </xf>
    <xf numFmtId="0" fontId="0" fillId="4" borderId="72" xfId="0" applyFill="1" applyBorder="1" applyAlignment="1" applyProtection="1">
      <alignment horizontal="left"/>
      <protection locked="0"/>
    </xf>
    <xf numFmtId="0" fontId="0" fillId="5" borderId="59" xfId="0" applyFill="1" applyBorder="1" applyAlignment="1" applyProtection="1">
      <alignment horizontal="left"/>
      <protection locked="0"/>
    </xf>
    <xf numFmtId="0" fontId="0" fillId="5" borderId="72" xfId="0" applyFill="1" applyBorder="1" applyAlignment="1" applyProtection="1">
      <alignment horizontal="left"/>
      <protection locked="0"/>
    </xf>
    <xf numFmtId="0" fontId="52" fillId="43" borderId="0" xfId="372" applyFont="1" applyFill="1" applyAlignment="1">
      <alignment horizontal="left"/>
    </xf>
    <xf numFmtId="0" fontId="52" fillId="43" borderId="0" xfId="372" applyFont="1" applyFill="1"/>
    <xf numFmtId="0" fontId="52" fillId="44" borderId="0" xfId="372" applyFont="1" applyFill="1" applyAlignment="1">
      <alignment horizontal="left"/>
    </xf>
    <xf numFmtId="0" fontId="52" fillId="44" borderId="0" xfId="372" applyFont="1" applyFill="1"/>
    <xf numFmtId="0" fontId="14" fillId="44" borderId="0" xfId="0" applyFont="1" applyFill="1"/>
    <xf numFmtId="0" fontId="14" fillId="43" borderId="0" xfId="0" applyFont="1" applyFill="1"/>
    <xf numFmtId="0" fontId="0" fillId="36" borderId="0" xfId="0" applyFill="1"/>
    <xf numFmtId="2" fontId="0" fillId="36" borderId="0" xfId="0" applyNumberFormat="1" applyFill="1"/>
    <xf numFmtId="0" fontId="16" fillId="2" borderId="10" xfId="372" applyFill="1" applyBorder="1" applyAlignment="1">
      <alignment horizontal="left" wrapText="1"/>
    </xf>
    <xf numFmtId="0" fontId="41" fillId="2" borderId="10" xfId="372" applyFont="1" applyFill="1" applyBorder="1" applyAlignment="1">
      <alignment horizontal="left" wrapText="1"/>
    </xf>
    <xf numFmtId="1" fontId="16" fillId="2" borderId="7" xfId="372" applyNumberFormat="1" applyFill="1" applyBorder="1" applyProtection="1">
      <protection locked="0"/>
    </xf>
    <xf numFmtId="166" fontId="0" fillId="2" borderId="61" xfId="0" applyNumberFormat="1" applyFill="1" applyBorder="1" applyAlignment="1" applyProtection="1">
      <alignment horizontal="center"/>
      <protection locked="0"/>
    </xf>
    <xf numFmtId="0" fontId="16" fillId="4" borderId="6" xfId="372" applyFill="1" applyBorder="1" applyAlignment="1">
      <alignment horizontal="center"/>
    </xf>
    <xf numFmtId="0" fontId="41" fillId="2" borderId="5" xfId="372" applyFont="1" applyFill="1" applyBorder="1" applyProtection="1">
      <protection locked="0"/>
    </xf>
    <xf numFmtId="0" fontId="41" fillId="2" borderId="27" xfId="372" applyFont="1" applyFill="1" applyBorder="1" applyProtection="1">
      <protection locked="0"/>
    </xf>
    <xf numFmtId="0" fontId="56" fillId="43" borderId="0" xfId="505" applyFont="1" applyFill="1" applyAlignment="1">
      <alignment horizontal="justify" vertical="justify"/>
    </xf>
    <xf numFmtId="0" fontId="56" fillId="44" borderId="0" xfId="505" applyFont="1" applyFill="1" applyAlignment="1">
      <alignment horizontal="justify" vertical="justify"/>
    </xf>
    <xf numFmtId="0" fontId="116" fillId="0" borderId="0" xfId="0" applyFont="1"/>
    <xf numFmtId="0" fontId="119" fillId="0" borderId="0" xfId="0" applyFont="1" applyAlignment="1">
      <alignment horizontal="left"/>
    </xf>
    <xf numFmtId="0" fontId="118" fillId="0" borderId="0" xfId="0" applyFont="1"/>
    <xf numFmtId="0" fontId="49" fillId="43" borderId="4" xfId="374" applyFont="1" applyFill="1" applyBorder="1"/>
    <xf numFmtId="0" fontId="49" fillId="43" borderId="5" xfId="374" applyFont="1" applyFill="1" applyBorder="1"/>
    <xf numFmtId="0" fontId="99" fillId="43" borderId="5" xfId="374" applyFont="1" applyFill="1" applyBorder="1" applyAlignment="1">
      <alignment horizontal="right"/>
    </xf>
    <xf numFmtId="0" fontId="49" fillId="43" borderId="6" xfId="374" applyFont="1" applyFill="1" applyBorder="1" applyAlignment="1">
      <alignment horizontal="right"/>
    </xf>
    <xf numFmtId="0" fontId="54" fillId="43" borderId="4" xfId="374" applyFont="1" applyFill="1" applyBorder="1"/>
    <xf numFmtId="0" fontId="107" fillId="43" borderId="5" xfId="374" applyFont="1" applyFill="1" applyBorder="1"/>
    <xf numFmtId="0" fontId="54" fillId="45" borderId="4" xfId="0" applyFont="1" applyFill="1" applyBorder="1"/>
    <xf numFmtId="0" fontId="54" fillId="45" borderId="5" xfId="0" applyFont="1" applyFill="1" applyBorder="1"/>
    <xf numFmtId="0" fontId="54" fillId="45" borderId="5" xfId="0" applyFont="1" applyFill="1" applyBorder="1" applyAlignment="1">
      <alignment horizontal="right"/>
    </xf>
    <xf numFmtId="0" fontId="54" fillId="44" borderId="4" xfId="374" applyFont="1" applyFill="1" applyBorder="1"/>
    <xf numFmtId="0" fontId="107" fillId="44" borderId="5" xfId="374" applyFont="1" applyFill="1" applyBorder="1"/>
    <xf numFmtId="0" fontId="16" fillId="0" borderId="46" xfId="372" applyBorder="1" applyAlignment="1">
      <alignment horizontal="center"/>
    </xf>
    <xf numFmtId="0" fontId="16" fillId="2" borderId="10" xfId="372" applyFill="1" applyBorder="1" applyAlignment="1">
      <alignment horizontal="left"/>
    </xf>
    <xf numFmtId="0" fontId="41" fillId="2" borderId="7" xfId="372" applyFont="1" applyFill="1" applyBorder="1" applyAlignment="1">
      <alignment horizontal="center"/>
    </xf>
    <xf numFmtId="0" fontId="0" fillId="2" borderId="77" xfId="0" applyFill="1" applyBorder="1"/>
    <xf numFmtId="0" fontId="75" fillId="0" borderId="0" xfId="0" applyFont="1" applyAlignment="1">
      <alignment horizontal="left" vertical="center" wrapText="1"/>
    </xf>
    <xf numFmtId="166" fontId="0" fillId="2" borderId="9" xfId="0" quotePrefix="1" applyNumberFormat="1" applyFill="1" applyBorder="1" applyAlignment="1" applyProtection="1">
      <alignment horizontal="center"/>
      <protection locked="0"/>
    </xf>
    <xf numFmtId="166" fontId="0" fillId="4" borderId="15" xfId="0" applyNumberFormat="1" applyFill="1" applyBorder="1" applyAlignment="1">
      <alignment horizont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2" fontId="0" fillId="4" borderId="16" xfId="0" applyNumberFormat="1" applyFill="1" applyBorder="1" applyAlignment="1">
      <alignment horizontal="center"/>
    </xf>
    <xf numFmtId="2" fontId="0" fillId="4" borderId="17" xfId="0" applyNumberFormat="1" applyFill="1" applyBorder="1" applyAlignment="1">
      <alignment horizontal="center"/>
    </xf>
    <xf numFmtId="1" fontId="41" fillId="34" borderId="6" xfId="374" applyNumberFormat="1" applyFont="1" applyFill="1" applyBorder="1"/>
    <xf numFmtId="0" fontId="41" fillId="4" borderId="5" xfId="372" applyFont="1" applyFill="1" applyBorder="1" applyProtection="1">
      <protection locked="0"/>
    </xf>
    <xf numFmtId="0" fontId="26" fillId="2" borderId="5" xfId="372" applyFont="1" applyFill="1" applyBorder="1" applyProtection="1">
      <protection locked="0"/>
    </xf>
    <xf numFmtId="0" fontId="41" fillId="2" borderId="6" xfId="372" applyFont="1" applyFill="1" applyBorder="1" applyProtection="1">
      <protection locked="0"/>
    </xf>
    <xf numFmtId="0" fontId="0" fillId="4" borderId="17" xfId="0" applyFill="1" applyBorder="1" applyAlignment="1" applyProtection="1">
      <alignment horizontal="left"/>
      <protection locked="0"/>
    </xf>
    <xf numFmtId="0" fontId="0" fillId="4" borderId="44" xfId="0" applyFill="1" applyBorder="1" applyAlignment="1" applyProtection="1">
      <alignment horizontal="left"/>
      <protection locked="0"/>
    </xf>
    <xf numFmtId="0" fontId="79" fillId="0" borderId="0" xfId="505" applyFont="1" applyAlignment="1">
      <alignment horizontal="left" wrapText="1"/>
    </xf>
    <xf numFmtId="0" fontId="49" fillId="0" borderId="0" xfId="505" applyFont="1" applyAlignment="1">
      <alignment wrapText="1"/>
    </xf>
    <xf numFmtId="2" fontId="76" fillId="2" borderId="0" xfId="0" applyNumberFormat="1" applyFont="1" applyFill="1" applyAlignment="1">
      <alignment horizontal="left" wrapText="1"/>
    </xf>
    <xf numFmtId="0" fontId="0" fillId="0" borderId="33" xfId="0" applyBorder="1"/>
    <xf numFmtId="2" fontId="41" fillId="24" borderId="6" xfId="374" applyNumberFormat="1" applyFont="1" applyFill="1" applyBorder="1"/>
    <xf numFmtId="2" fontId="107" fillId="15" borderId="6" xfId="374" applyNumberFormat="1" applyFont="1" applyFill="1" applyBorder="1"/>
    <xf numFmtId="2" fontId="107" fillId="25" borderId="6" xfId="374" applyNumberFormat="1" applyFont="1" applyFill="1" applyBorder="1"/>
    <xf numFmtId="2" fontId="107" fillId="43" borderId="6" xfId="374" applyNumberFormat="1" applyFont="1" applyFill="1" applyBorder="1"/>
    <xf numFmtId="2" fontId="107" fillId="44" borderId="6" xfId="374" applyNumberFormat="1" applyFont="1" applyFill="1" applyBorder="1"/>
    <xf numFmtId="0" fontId="75" fillId="0" borderId="45" xfId="0" applyFont="1" applyBorder="1" applyAlignment="1">
      <alignment horizontal="left" vertical="center" wrapText="1"/>
    </xf>
    <xf numFmtId="0" fontId="31" fillId="0" borderId="0" xfId="505" applyAlignment="1">
      <alignment horizontal="justify" vertical="justify" wrapText="1"/>
    </xf>
    <xf numFmtId="0" fontId="49" fillId="0" borderId="0" xfId="505" applyFont="1" applyAlignment="1">
      <alignment horizontal="left" vertical="center" wrapText="1"/>
    </xf>
    <xf numFmtId="0" fontId="18" fillId="0" borderId="0" xfId="505" applyFont="1" applyAlignment="1">
      <alignment horizontal="center"/>
    </xf>
    <xf numFmtId="0" fontId="0" fillId="0" borderId="0" xfId="0" applyAlignment="1">
      <alignment horizontal="center"/>
    </xf>
    <xf numFmtId="0" fontId="121" fillId="0" borderId="0" xfId="0" applyFont="1" applyAlignment="1">
      <alignment horizontal="center" wrapText="1"/>
    </xf>
    <xf numFmtId="0" fontId="76" fillId="0" borderId="0" xfId="0" applyFont="1" applyAlignment="1">
      <alignment horizontal="left"/>
    </xf>
    <xf numFmtId="0" fontId="0" fillId="0" borderId="0" xfId="0" applyAlignment="1">
      <alignment horizontal="left" wrapText="1"/>
    </xf>
    <xf numFmtId="0" fontId="0" fillId="0" borderId="0" xfId="0" applyAlignment="1">
      <alignment horizontal="center" wrapText="1"/>
    </xf>
    <xf numFmtId="0" fontId="76" fillId="0" borderId="0" xfId="0" applyFont="1" applyAlignment="1">
      <alignment horizontal="center"/>
    </xf>
    <xf numFmtId="0" fontId="118" fillId="0" borderId="0" xfId="0" applyFont="1" applyAlignment="1">
      <alignment horizontal="left" wrapText="1"/>
    </xf>
    <xf numFmtId="0" fontId="113" fillId="0" borderId="0" xfId="0" applyFont="1" applyAlignment="1">
      <alignment horizontal="left" wrapText="1"/>
    </xf>
    <xf numFmtId="0" fontId="117" fillId="0" borderId="0" xfId="0" applyFont="1" applyAlignment="1">
      <alignment horizontal="center"/>
    </xf>
    <xf numFmtId="0" fontId="118" fillId="0" borderId="0" xfId="0" applyFont="1" applyAlignment="1">
      <alignment horizontal="left"/>
    </xf>
    <xf numFmtId="0" fontId="119" fillId="0" borderId="0" xfId="0" applyFont="1" applyAlignment="1">
      <alignment horizontal="left"/>
    </xf>
    <xf numFmtId="0" fontId="0" fillId="0" borderId="0" xfId="0" applyAlignment="1">
      <alignment horizontal="left"/>
    </xf>
    <xf numFmtId="0" fontId="0" fillId="0" borderId="0" xfId="505" applyFont="1" applyAlignment="1">
      <alignment horizontal="left" vertical="justify"/>
    </xf>
    <xf numFmtId="0" fontId="1" fillId="0" borderId="0" xfId="505" applyFont="1" applyAlignment="1">
      <alignment horizontal="left" vertical="justify"/>
    </xf>
    <xf numFmtId="0" fontId="120" fillId="0" borderId="0" xfId="0" applyFont="1" applyAlignment="1">
      <alignment horizontal="center" vertical="center"/>
    </xf>
    <xf numFmtId="0" fontId="62" fillId="0" borderId="0" xfId="0" applyFont="1" applyAlignment="1">
      <alignment horizontal="left" wrapText="1"/>
    </xf>
    <xf numFmtId="0" fontId="7" fillId="0" borderId="0" xfId="0" applyFont="1" applyAlignment="1">
      <alignment horizontal="left" wrapText="1"/>
    </xf>
    <xf numFmtId="0" fontId="73" fillId="0" borderId="0" xfId="0" applyFont="1" applyAlignment="1">
      <alignment horizontal="left" wrapText="1"/>
    </xf>
    <xf numFmtId="0" fontId="114" fillId="0" borderId="0" xfId="0" applyFont="1" applyAlignment="1">
      <alignment horizontal="left" wrapText="1"/>
    </xf>
    <xf numFmtId="0" fontId="122" fillId="2" borderId="91" xfId="539" applyFont="1" applyFill="1" applyBorder="1" applyAlignment="1">
      <alignment horizontal="center" wrapText="1"/>
    </xf>
    <xf numFmtId="0" fontId="122" fillId="21" borderId="23" xfId="539" applyFont="1" applyFill="1" applyBorder="1" applyAlignment="1">
      <alignment horizontal="center" wrapText="1"/>
    </xf>
    <xf numFmtId="0" fontId="122" fillId="21" borderId="25" xfId="539" applyFont="1" applyFill="1" applyBorder="1" applyAlignment="1">
      <alignment horizontal="center" wrapText="1"/>
    </xf>
    <xf numFmtId="0" fontId="122" fillId="20" borderId="24" xfId="539" applyFont="1" applyFill="1" applyBorder="1" applyAlignment="1">
      <alignment horizontal="center" wrapText="1"/>
    </xf>
    <xf numFmtId="0" fontId="122" fillId="20" borderId="25" xfId="539" applyFont="1" applyFill="1" applyBorder="1" applyAlignment="1">
      <alignment horizontal="center" wrapText="1"/>
    </xf>
    <xf numFmtId="0" fontId="76" fillId="0" borderId="45" xfId="0" applyFont="1" applyBorder="1" applyAlignment="1">
      <alignment horizontal="left"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4" xfId="0" applyNumberFormat="1" applyFill="1" applyBorder="1" applyAlignment="1" applyProtection="1">
      <alignment horizontal="center"/>
      <protection locked="0"/>
    </xf>
    <xf numFmtId="49" fontId="0" fillId="3" borderId="5"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6" xfId="0" applyFill="1" applyBorder="1" applyAlignment="1">
      <alignment horizontal="left" wrapText="1"/>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0" fontId="75" fillId="0" borderId="0" xfId="0" applyFont="1" applyAlignment="1">
      <alignment horizontal="left" wrapText="1"/>
    </xf>
    <xf numFmtId="165" fontId="0" fillId="3" borderId="42" xfId="0" applyNumberFormat="1" applyFill="1" applyBorder="1" applyAlignment="1" applyProtection="1">
      <alignment horizontal="center"/>
      <protection locked="0"/>
    </xf>
    <xf numFmtId="165" fontId="0" fillId="3" borderId="43" xfId="0" applyNumberFormat="1" applyFill="1" applyBorder="1" applyAlignment="1" applyProtection="1">
      <alignment horizontal="center"/>
      <protection locked="0"/>
    </xf>
    <xf numFmtId="165" fontId="0" fillId="3" borderId="4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0" fontId="122" fillId="34" borderId="23" xfId="539" applyFont="1" applyFill="1" applyBorder="1" applyAlignment="1">
      <alignment horizontal="center" wrapText="1"/>
    </xf>
    <xf numFmtId="0" fontId="122" fillId="34" borderId="24" xfId="539" applyFont="1" applyFill="1" applyBorder="1" applyAlignment="1">
      <alignment horizontal="center" wrapText="1"/>
    </xf>
    <xf numFmtId="0" fontId="122" fillId="37" borderId="23" xfId="539" applyFont="1" applyFill="1" applyBorder="1" applyAlignment="1">
      <alignment horizontal="center" wrapText="1"/>
    </xf>
    <xf numFmtId="0" fontId="122" fillId="37" borderId="25" xfId="539" applyFont="1" applyFill="1" applyBorder="1" applyAlignment="1">
      <alignment horizontal="center" wrapText="1"/>
    </xf>
    <xf numFmtId="0" fontId="76" fillId="0" borderId="0" xfId="0" applyFont="1" applyAlignment="1">
      <alignment horizontal="left" vertical="center" wrapText="1"/>
    </xf>
    <xf numFmtId="49" fontId="0" fillId="18" borderId="4" xfId="0" applyNumberFormat="1" applyFill="1" applyBorder="1" applyAlignment="1" applyProtection="1">
      <alignment horizontal="center"/>
      <protection locked="0"/>
    </xf>
    <xf numFmtId="49" fontId="0" fillId="18" borderId="5" xfId="0" applyNumberFormat="1" applyFill="1" applyBorder="1" applyAlignment="1" applyProtection="1">
      <alignment horizontal="center"/>
      <protection locked="0"/>
    </xf>
    <xf numFmtId="49" fontId="0" fillId="18" borderId="40" xfId="0" applyNumberFormat="1" applyFill="1" applyBorder="1" applyAlignment="1" applyProtection="1">
      <alignment horizontal="center"/>
      <protection locked="0"/>
    </xf>
    <xf numFmtId="0" fontId="72" fillId="0" borderId="56" xfId="0" applyFont="1" applyBorder="1" applyAlignment="1">
      <alignment horizontal="center" vertical="center"/>
    </xf>
    <xf numFmtId="0" fontId="78" fillId="23" borderId="62" xfId="0" applyFont="1" applyFill="1" applyBorder="1" applyAlignment="1">
      <alignment horizontal="center" vertical="center" textRotation="90"/>
    </xf>
    <xf numFmtId="0" fontId="78" fillId="23" borderId="63" xfId="0" applyFont="1" applyFill="1" applyBorder="1" applyAlignment="1">
      <alignment horizontal="center" vertical="center" textRotation="90"/>
    </xf>
    <xf numFmtId="0" fontId="78" fillId="23" borderId="61" xfId="0" applyFont="1" applyFill="1" applyBorder="1" applyAlignment="1">
      <alignment horizontal="center" vertical="center" textRotation="90"/>
    </xf>
    <xf numFmtId="0" fontId="10" fillId="6" borderId="37" xfId="0" applyFont="1" applyFill="1" applyBorder="1" applyAlignment="1" applyProtection="1">
      <alignment horizontal="center"/>
      <protection locked="0"/>
    </xf>
    <xf numFmtId="0" fontId="10" fillId="6" borderId="38" xfId="0" applyFont="1" applyFill="1" applyBorder="1" applyAlignment="1" applyProtection="1">
      <alignment horizontal="center"/>
      <protection locked="0"/>
    </xf>
    <xf numFmtId="0" fontId="10"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49" fontId="0" fillId="3" borderId="4" xfId="0" applyNumberFormat="1" applyFill="1" applyBorder="1" applyAlignment="1" applyProtection="1">
      <alignment horizontal="center" wrapText="1"/>
      <protection locked="0"/>
    </xf>
    <xf numFmtId="49" fontId="0" fillId="3" borderId="5" xfId="0" applyNumberFormat="1" applyFill="1" applyBorder="1" applyAlignment="1" applyProtection="1">
      <alignment horizontal="center" wrapText="1"/>
      <protection locked="0"/>
    </xf>
    <xf numFmtId="49" fontId="0" fillId="3" borderId="40" xfId="0" applyNumberFormat="1" applyFill="1" applyBorder="1" applyAlignment="1" applyProtection="1">
      <alignment horizontal="center" wrapText="1"/>
      <protection locked="0"/>
    </xf>
    <xf numFmtId="0" fontId="122" fillId="46" borderId="23" xfId="539" applyFont="1" applyFill="1" applyBorder="1" applyAlignment="1">
      <alignment horizontal="center" wrapText="1"/>
    </xf>
    <xf numFmtId="0" fontId="122" fillId="46" borderId="24" xfId="539" applyFont="1" applyFill="1" applyBorder="1" applyAlignment="1">
      <alignment horizontal="center" wrapText="1"/>
    </xf>
    <xf numFmtId="0" fontId="68" fillId="23" borderId="36" xfId="0" applyFont="1" applyFill="1" applyBorder="1" applyAlignment="1">
      <alignment horizontal="center"/>
    </xf>
    <xf numFmtId="0" fontId="68" fillId="23" borderId="56" xfId="0" applyFont="1" applyFill="1" applyBorder="1" applyAlignment="1">
      <alignment horizontal="center"/>
    </xf>
    <xf numFmtId="0" fontId="68" fillId="23" borderId="60" xfId="0" applyFont="1" applyFill="1" applyBorder="1" applyAlignment="1">
      <alignment horizontal="center"/>
    </xf>
    <xf numFmtId="0" fontId="68" fillId="23" borderId="49" xfId="0" applyFont="1" applyFill="1" applyBorder="1" applyAlignment="1">
      <alignment horizontal="left"/>
    </xf>
    <xf numFmtId="0" fontId="68" fillId="23" borderId="10" xfId="0" applyFont="1" applyFill="1" applyBorder="1" applyAlignment="1">
      <alignment horizontal="left"/>
    </xf>
    <xf numFmtId="0" fontId="68" fillId="23" borderId="58" xfId="0" applyFont="1" applyFill="1" applyBorder="1" applyAlignment="1">
      <alignment horizontal="left"/>
    </xf>
    <xf numFmtId="0" fontId="68" fillId="23" borderId="27" xfId="0" applyFont="1" applyFill="1" applyBorder="1" applyAlignment="1">
      <alignment horizontal="left"/>
    </xf>
    <xf numFmtId="0" fontId="14" fillId="23" borderId="10" xfId="0" applyFont="1" applyFill="1" applyBorder="1" applyAlignment="1">
      <alignment horizontal="center"/>
    </xf>
    <xf numFmtId="0" fontId="14" fillId="23" borderId="0" xfId="0" applyFont="1" applyFill="1" applyAlignment="1">
      <alignment horizontal="center"/>
    </xf>
    <xf numFmtId="0" fontId="14" fillId="23" borderId="73" xfId="0" applyFont="1" applyFill="1" applyBorder="1" applyAlignment="1">
      <alignment horizontal="center"/>
    </xf>
    <xf numFmtId="49" fontId="13" fillId="3" borderId="27" xfId="0" applyNumberFormat="1" applyFont="1" applyFill="1" applyBorder="1" applyAlignment="1" applyProtection="1">
      <alignment horizontal="center"/>
      <protection locked="0"/>
    </xf>
    <xf numFmtId="49" fontId="13" fillId="3" borderId="19" xfId="0" applyNumberFormat="1" applyFont="1" applyFill="1" applyBorder="1" applyAlignment="1" applyProtection="1">
      <alignment horizontal="center"/>
      <protection locked="0"/>
    </xf>
    <xf numFmtId="49" fontId="13" fillId="3" borderId="70" xfId="0" applyNumberFormat="1" applyFont="1" applyFill="1" applyBorder="1" applyAlignment="1" applyProtection="1">
      <alignment horizontal="center"/>
      <protection locked="0"/>
    </xf>
    <xf numFmtId="0" fontId="0" fillId="4" borderId="49" xfId="0" applyFill="1" applyBorder="1" applyAlignment="1">
      <alignment horizontal="left" wrapText="1"/>
    </xf>
    <xf numFmtId="0" fontId="0" fillId="4" borderId="10" xfId="0" applyFill="1" applyBorder="1" applyAlignment="1">
      <alignment horizontal="left" wrapText="1"/>
    </xf>
    <xf numFmtId="0" fontId="0" fillId="4" borderId="72" xfId="0" applyFill="1" applyBorder="1" applyAlignment="1">
      <alignment horizontal="left" wrapText="1"/>
    </xf>
    <xf numFmtId="0" fontId="0" fillId="5" borderId="62" xfId="0" applyFill="1" applyBorder="1" applyAlignment="1">
      <alignment horizontal="center" wrapText="1"/>
    </xf>
    <xf numFmtId="0" fontId="0" fillId="5" borderId="61" xfId="0" applyFill="1" applyBorder="1" applyAlignment="1">
      <alignment horizontal="center" wrapText="1"/>
    </xf>
    <xf numFmtId="2" fontId="0" fillId="5" borderId="75" xfId="0" applyNumberFormat="1" applyFill="1" applyBorder="1" applyAlignment="1">
      <alignment horizontal="center" wrapText="1"/>
    </xf>
    <xf numFmtId="2" fontId="0" fillId="5" borderId="87" xfId="0" applyNumberFormat="1" applyFill="1" applyBorder="1" applyAlignment="1">
      <alignment horizontal="center" wrapText="1"/>
    </xf>
    <xf numFmtId="2" fontId="55" fillId="5" borderId="36" xfId="0" applyNumberFormat="1" applyFont="1" applyFill="1" applyBorder="1" applyAlignment="1">
      <alignment horizontal="center" wrapText="1"/>
    </xf>
    <xf numFmtId="2" fontId="55" fillId="5" borderId="60" xfId="0" applyNumberFormat="1" applyFont="1" applyFill="1" applyBorder="1" applyAlignment="1">
      <alignment horizontal="center" wrapText="1"/>
    </xf>
    <xf numFmtId="2" fontId="103" fillId="5" borderId="41" xfId="0" applyNumberFormat="1" applyFont="1" applyFill="1" applyBorder="1" applyAlignment="1">
      <alignment horizontal="center" wrapText="1"/>
    </xf>
    <xf numFmtId="2" fontId="103" fillId="5" borderId="71" xfId="0" applyNumberFormat="1" applyFont="1" applyFill="1" applyBorder="1" applyAlignment="1">
      <alignment horizontal="center" wrapText="1"/>
    </xf>
    <xf numFmtId="2" fontId="0" fillId="5" borderId="86" xfId="0" applyNumberFormat="1" applyFill="1" applyBorder="1" applyAlignment="1">
      <alignment horizontal="center" wrapText="1"/>
    </xf>
    <xf numFmtId="2" fontId="0" fillId="5" borderId="30" xfId="0" applyNumberFormat="1" applyFill="1" applyBorder="1" applyAlignment="1">
      <alignment horizontal="center" wrapText="1"/>
    </xf>
    <xf numFmtId="0" fontId="0" fillId="4" borderId="13" xfId="0" applyFill="1" applyBorder="1" applyAlignment="1">
      <alignment horizontal="left" wrapText="1"/>
    </xf>
    <xf numFmtId="0" fontId="0" fillId="4" borderId="5" xfId="0" applyFill="1" applyBorder="1" applyAlignment="1">
      <alignment horizontal="left" wrapText="1"/>
    </xf>
    <xf numFmtId="0" fontId="0" fillId="4" borderId="40" xfId="0" applyFill="1" applyBorder="1" applyAlignment="1">
      <alignment horizontal="left" wrapText="1"/>
    </xf>
    <xf numFmtId="0" fontId="62" fillId="2" borderId="13" xfId="0" applyFont="1" applyFill="1" applyBorder="1" applyAlignment="1" applyProtection="1">
      <alignment horizontal="left" vertical="center"/>
      <protection locked="0"/>
    </xf>
    <xf numFmtId="0" fontId="62" fillId="2" borderId="5" xfId="0" applyFont="1" applyFill="1" applyBorder="1" applyAlignment="1" applyProtection="1">
      <alignment horizontal="left" vertical="center"/>
      <protection locked="0"/>
    </xf>
    <xf numFmtId="0" fontId="62" fillId="2" borderId="6" xfId="0" applyFont="1" applyFill="1" applyBorder="1" applyAlignment="1" applyProtection="1">
      <alignment horizontal="left" vertical="center"/>
      <protection locked="0"/>
    </xf>
    <xf numFmtId="0" fontId="62" fillId="2" borderId="4" xfId="0" applyFont="1" applyFill="1" applyBorder="1" applyAlignment="1" applyProtection="1">
      <alignment horizontal="left" vertical="center"/>
      <protection locked="0"/>
    </xf>
    <xf numFmtId="0" fontId="62" fillId="4" borderId="58" xfId="0" applyFont="1" applyFill="1" applyBorder="1" applyAlignment="1">
      <alignment horizontal="left" vertical="center" wrapText="1"/>
    </xf>
    <xf numFmtId="0" fontId="62" fillId="4" borderId="27" xfId="0" applyFont="1" applyFill="1" applyBorder="1" applyAlignment="1">
      <alignment horizontal="left" vertical="center" wrapText="1"/>
    </xf>
    <xf numFmtId="0" fontId="62" fillId="4" borderId="19"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73" fillId="0" borderId="0" xfId="0" applyFont="1" applyAlignment="1">
      <alignment horizontal="left" vertical="center" wrapText="1"/>
    </xf>
    <xf numFmtId="0" fontId="77" fillId="23" borderId="36" xfId="0" applyFont="1" applyFill="1" applyBorder="1" applyAlignment="1">
      <alignment horizontal="center" vertical="center"/>
    </xf>
    <xf numFmtId="0" fontId="77" fillId="23" borderId="56" xfId="0" applyFont="1" applyFill="1" applyBorder="1" applyAlignment="1">
      <alignment horizontal="center" vertical="center"/>
    </xf>
    <xf numFmtId="0" fontId="77" fillId="23" borderId="60" xfId="0" applyFont="1" applyFill="1" applyBorder="1" applyAlignment="1">
      <alignment horizontal="center" vertical="center"/>
    </xf>
    <xf numFmtId="0" fontId="104" fillId="23" borderId="41" xfId="0" applyFont="1" applyFill="1" applyBorder="1" applyAlignment="1">
      <alignment horizontal="center" vertical="center"/>
    </xf>
    <xf numFmtId="0" fontId="104" fillId="23" borderId="45" xfId="0" applyFont="1" applyFill="1" applyBorder="1" applyAlignment="1">
      <alignment horizontal="center" vertical="center"/>
    </xf>
    <xf numFmtId="0" fontId="104" fillId="23" borderId="71" xfId="0" applyFont="1" applyFill="1" applyBorder="1" applyAlignment="1">
      <alignment horizontal="center" vertical="center"/>
    </xf>
    <xf numFmtId="0" fontId="6" fillId="4" borderId="18" xfId="0" applyFont="1" applyFill="1" applyBorder="1" applyAlignment="1">
      <alignment horizontal="center" vertical="center" wrapText="1"/>
    </xf>
    <xf numFmtId="0" fontId="62" fillId="2" borderId="1" xfId="0" applyFont="1" applyFill="1" applyBorder="1" applyAlignment="1" applyProtection="1">
      <alignment horizontal="center" vertical="center"/>
      <protection locked="0"/>
    </xf>
    <xf numFmtId="0" fontId="62" fillId="2" borderId="14" xfId="0" applyFont="1" applyFill="1" applyBorder="1" applyAlignment="1" applyProtection="1">
      <alignment horizontal="center" vertical="center"/>
      <protection locked="0"/>
    </xf>
    <xf numFmtId="0" fontId="60" fillId="26" borderId="87" xfId="0" applyFont="1" applyFill="1" applyBorder="1" applyAlignment="1">
      <alignment horizontal="center"/>
    </xf>
    <xf numFmtId="0" fontId="60" fillId="26" borderId="71" xfId="0" applyFont="1" applyFill="1" applyBorder="1" applyAlignment="1">
      <alignment horizontal="center"/>
    </xf>
    <xf numFmtId="2" fontId="112" fillId="5" borderId="41" xfId="0" applyNumberFormat="1" applyFont="1" applyFill="1" applyBorder="1" applyAlignment="1">
      <alignment horizontal="center" wrapText="1"/>
    </xf>
    <xf numFmtId="2" fontId="112" fillId="5" borderId="71" xfId="0" applyNumberFormat="1" applyFont="1" applyFill="1" applyBorder="1" applyAlignment="1">
      <alignment horizontal="center" wrapText="1"/>
    </xf>
    <xf numFmtId="0" fontId="73" fillId="0" borderId="0" xfId="0" applyFont="1" applyAlignment="1">
      <alignment horizontal="center" vertical="center" wrapText="1"/>
    </xf>
    <xf numFmtId="0" fontId="75" fillId="0" borderId="0" xfId="0" applyFont="1" applyAlignment="1">
      <alignment horizontal="left" vertical="center" wrapText="1"/>
    </xf>
    <xf numFmtId="0" fontId="73" fillId="0" borderId="56" xfId="0" applyFont="1" applyBorder="1" applyAlignment="1">
      <alignment horizontal="left" vertical="center" wrapText="1"/>
    </xf>
    <xf numFmtId="0" fontId="0" fillId="5" borderId="5" xfId="0" applyFill="1" applyBorder="1" applyAlignment="1">
      <alignment horizontal="left" vertical="center"/>
    </xf>
    <xf numFmtId="0" fontId="0" fillId="5" borderId="10" xfId="0" applyFill="1" applyBorder="1" applyAlignment="1">
      <alignment horizontal="left"/>
    </xf>
    <xf numFmtId="0" fontId="0" fillId="5" borderId="27" xfId="0" applyFill="1" applyBorder="1" applyAlignment="1">
      <alignment horizontal="left" vertical="center"/>
    </xf>
    <xf numFmtId="0" fontId="68" fillId="23" borderId="11" xfId="0" applyFont="1" applyFill="1" applyBorder="1" applyAlignment="1">
      <alignment horizontal="center"/>
    </xf>
    <xf numFmtId="0" fontId="68" fillId="23" borderId="38" xfId="0" applyFont="1" applyFill="1" applyBorder="1" applyAlignment="1">
      <alignment horizontal="center"/>
    </xf>
    <xf numFmtId="0" fontId="68" fillId="23" borderId="39" xfId="0" applyFont="1" applyFill="1" applyBorder="1" applyAlignment="1">
      <alignment horizontal="center"/>
    </xf>
    <xf numFmtId="0" fontId="55" fillId="4" borderId="49" xfId="0" applyFont="1" applyFill="1" applyBorder="1" applyAlignment="1">
      <alignment horizontal="left" wrapText="1"/>
    </xf>
    <xf numFmtId="0" fontId="55" fillId="4" borderId="10" xfId="0" applyFont="1" applyFill="1" applyBorder="1" applyAlignment="1">
      <alignment horizontal="left" wrapText="1"/>
    </xf>
    <xf numFmtId="0" fontId="55" fillId="4" borderId="72" xfId="0" applyFont="1" applyFill="1" applyBorder="1" applyAlignment="1">
      <alignment horizontal="left" wrapText="1"/>
    </xf>
    <xf numFmtId="2" fontId="0" fillId="5" borderId="86" xfId="0" applyNumberFormat="1" applyFill="1" applyBorder="1" applyAlignment="1">
      <alignment horizontal="center" vertical="center" wrapText="1"/>
    </xf>
    <xf numFmtId="2" fontId="0" fillId="5" borderId="30" xfId="0" applyNumberFormat="1" applyFill="1" applyBorder="1" applyAlignment="1">
      <alignment horizontal="center" vertical="center" wrapText="1"/>
    </xf>
    <xf numFmtId="2" fontId="16" fillId="2" borderId="4" xfId="372" applyNumberFormat="1" applyFill="1" applyBorder="1" applyAlignment="1">
      <alignment horizontal="center"/>
    </xf>
    <xf numFmtId="2" fontId="16" fillId="2" borderId="40" xfId="372" applyNumberFormat="1" applyFill="1" applyBorder="1" applyAlignment="1">
      <alignment horizontal="center"/>
    </xf>
    <xf numFmtId="0" fontId="123" fillId="34" borderId="23" xfId="539" applyFont="1" applyFill="1" applyBorder="1" applyAlignment="1">
      <alignment horizontal="center" wrapText="1"/>
    </xf>
    <xf numFmtId="0" fontId="123" fillId="34" borderId="24" xfId="539" applyFont="1" applyFill="1" applyBorder="1" applyAlignment="1">
      <alignment horizontal="center" wrapText="1"/>
    </xf>
    <xf numFmtId="0" fontId="14" fillId="43" borderId="0" xfId="0" applyFont="1" applyFill="1" applyAlignment="1">
      <alignment horizontal="center"/>
    </xf>
    <xf numFmtId="0" fontId="14" fillId="44" borderId="0" xfId="0" applyFont="1" applyFill="1" applyAlignment="1">
      <alignment horizontal="center"/>
    </xf>
    <xf numFmtId="0" fontId="16" fillId="8" borderId="68" xfId="372" applyFill="1" applyBorder="1" applyAlignment="1" applyProtection="1">
      <alignment horizontal="left"/>
      <protection locked="0"/>
    </xf>
    <xf numFmtId="0" fontId="16" fillId="8" borderId="69" xfId="372" applyFill="1" applyBorder="1" applyAlignment="1" applyProtection="1">
      <alignment horizontal="left"/>
      <protection locked="0"/>
    </xf>
    <xf numFmtId="0" fontId="16" fillId="8" borderId="67" xfId="372" applyFill="1" applyBorder="1" applyAlignment="1" applyProtection="1">
      <alignment horizontal="left"/>
      <protection locked="0"/>
    </xf>
    <xf numFmtId="0" fontId="16" fillId="8" borderId="4" xfId="372" applyFill="1" applyBorder="1" applyAlignment="1" applyProtection="1">
      <alignment horizontal="left"/>
      <protection locked="0"/>
    </xf>
    <xf numFmtId="0" fontId="16" fillId="8" borderId="5" xfId="372" applyFill="1" applyBorder="1" applyAlignment="1" applyProtection="1">
      <alignment horizontal="left"/>
      <protection locked="0"/>
    </xf>
    <xf numFmtId="0" fontId="16" fillId="8" borderId="6" xfId="372" applyFill="1" applyBorder="1" applyAlignment="1" applyProtection="1">
      <alignment horizontal="left"/>
      <protection locked="0"/>
    </xf>
    <xf numFmtId="0" fontId="49" fillId="0" borderId="58" xfId="372" applyFont="1" applyBorder="1" applyAlignment="1">
      <alignment horizontal="center" vertical="center" wrapText="1"/>
    </xf>
    <xf numFmtId="0" fontId="49" fillId="0" borderId="27" xfId="372" applyFont="1" applyBorder="1" applyAlignment="1">
      <alignment horizontal="center" vertical="center" wrapText="1"/>
    </xf>
    <xf numFmtId="0" fontId="49" fillId="0" borderId="70" xfId="372" applyFont="1" applyBorder="1" applyAlignment="1">
      <alignment horizontal="center" vertical="center" wrapText="1"/>
    </xf>
    <xf numFmtId="0" fontId="71" fillId="3" borderId="13" xfId="372" applyFont="1" applyFill="1" applyBorder="1" applyAlignment="1">
      <alignment horizontal="center" vertical="center" wrapText="1"/>
    </xf>
    <xf numFmtId="0" fontId="71" fillId="3" borderId="5" xfId="372" applyFont="1" applyFill="1" applyBorder="1" applyAlignment="1">
      <alignment horizontal="center" vertical="center" wrapText="1"/>
    </xf>
    <xf numFmtId="0" fontId="71" fillId="3" borderId="6" xfId="372" applyFont="1" applyFill="1" applyBorder="1" applyAlignment="1">
      <alignment horizontal="center" vertical="center" wrapText="1"/>
    </xf>
    <xf numFmtId="0" fontId="31" fillId="0" borderId="75" xfId="372" applyFont="1" applyBorder="1" applyAlignment="1">
      <alignment horizontal="center" vertical="center" wrapText="1"/>
    </xf>
    <xf numFmtId="0" fontId="31" fillId="0" borderId="34" xfId="372" applyFont="1" applyBorder="1" applyAlignment="1">
      <alignment horizontal="center" vertical="center" wrapText="1"/>
    </xf>
    <xf numFmtId="0" fontId="52" fillId="25" borderId="0" xfId="372" applyFont="1" applyFill="1" applyAlignment="1">
      <alignment horizontal="left"/>
    </xf>
    <xf numFmtId="0" fontId="64" fillId="4" borderId="54" xfId="372" applyFont="1" applyFill="1" applyBorder="1" applyAlignment="1">
      <alignment horizontal="center" vertical="center"/>
    </xf>
    <xf numFmtId="0" fontId="64" fillId="4" borderId="55" xfId="372" applyFont="1" applyFill="1" applyBorder="1" applyAlignment="1">
      <alignment horizontal="center" vertical="center"/>
    </xf>
    <xf numFmtId="0" fontId="16" fillId="0" borderId="9" xfId="372" applyBorder="1" applyAlignment="1">
      <alignment horizontal="left"/>
    </xf>
    <xf numFmtId="0" fontId="16" fillId="0" borderId="1" xfId="372" applyBorder="1" applyAlignment="1">
      <alignment horizontal="left"/>
    </xf>
    <xf numFmtId="0" fontId="16" fillId="21" borderId="9" xfId="372" applyFill="1" applyBorder="1" applyAlignment="1">
      <alignment horizontal="left"/>
    </xf>
    <xf numFmtId="0" fontId="16" fillId="21" borderId="1" xfId="372" applyFill="1" applyBorder="1" applyAlignment="1">
      <alignment horizontal="left"/>
    </xf>
    <xf numFmtId="0" fontId="52" fillId="15" borderId="0" xfId="372" applyFont="1" applyFill="1" applyAlignment="1">
      <alignment horizontal="left"/>
    </xf>
    <xf numFmtId="0" fontId="91" fillId="24" borderId="0" xfId="372" applyFont="1" applyFill="1" applyAlignment="1">
      <alignment horizontal="left"/>
    </xf>
    <xf numFmtId="0" fontId="52" fillId="30" borderId="9" xfId="372" applyFont="1" applyFill="1" applyBorder="1" applyAlignment="1">
      <alignment horizontal="left"/>
    </xf>
    <xf numFmtId="0" fontId="52" fillId="30" borderId="1" xfId="372" applyFont="1" applyFill="1" applyBorder="1" applyAlignment="1">
      <alignment horizontal="left"/>
    </xf>
    <xf numFmtId="0" fontId="48" fillId="32" borderId="13" xfId="372" applyFont="1" applyFill="1" applyBorder="1" applyAlignment="1">
      <alignment horizontal="left"/>
    </xf>
    <xf numFmtId="0" fontId="48" fillId="32" borderId="5" xfId="372" applyFont="1" applyFill="1" applyBorder="1" applyAlignment="1">
      <alignment horizontal="left"/>
    </xf>
    <xf numFmtId="0" fontId="48" fillId="32" borderId="6" xfId="372" applyFont="1" applyFill="1" applyBorder="1" applyAlignment="1">
      <alignment horizontal="left"/>
    </xf>
    <xf numFmtId="176" fontId="16" fillId="0" borderId="0" xfId="372" applyNumberFormat="1" applyAlignment="1">
      <alignment horizontal="center"/>
    </xf>
    <xf numFmtId="0" fontId="31" fillId="0" borderId="74" xfId="372" applyFont="1" applyBorder="1" applyAlignment="1">
      <alignment horizontal="center" vertical="center" wrapText="1"/>
    </xf>
    <xf numFmtId="0" fontId="31" fillId="0" borderId="12" xfId="372" applyFont="1" applyBorder="1" applyAlignment="1">
      <alignment horizontal="center" vertical="center" wrapText="1"/>
    </xf>
    <xf numFmtId="0" fontId="48" fillId="5" borderId="45" xfId="372" applyFont="1" applyFill="1" applyBorder="1" applyAlignment="1">
      <alignment horizontal="center" wrapText="1"/>
    </xf>
    <xf numFmtId="0" fontId="100" fillId="5" borderId="23" xfId="372" applyFont="1" applyFill="1" applyBorder="1" applyAlignment="1">
      <alignment horizontal="center"/>
    </xf>
    <xf numFmtId="0" fontId="100" fillId="5" borderId="24" xfId="372" applyFont="1" applyFill="1" applyBorder="1" applyAlignment="1">
      <alignment horizontal="center"/>
    </xf>
    <xf numFmtId="0" fontId="100" fillId="5" borderId="25" xfId="372" applyFont="1" applyFill="1" applyBorder="1" applyAlignment="1">
      <alignment horizontal="center"/>
    </xf>
    <xf numFmtId="0" fontId="71" fillId="3" borderId="40" xfId="372" applyFont="1" applyFill="1" applyBorder="1" applyAlignment="1">
      <alignment horizontal="center" vertical="center" wrapText="1"/>
    </xf>
    <xf numFmtId="0" fontId="66" fillId="23" borderId="36" xfId="372" applyFont="1" applyFill="1" applyBorder="1" applyAlignment="1">
      <alignment horizontal="center"/>
    </xf>
    <xf numFmtId="0" fontId="66" fillId="23" borderId="60" xfId="372" applyFont="1" applyFill="1" applyBorder="1" applyAlignment="1">
      <alignment horizontal="center"/>
    </xf>
    <xf numFmtId="0" fontId="31" fillId="0" borderId="33" xfId="372" applyFont="1" applyBorder="1" applyAlignment="1">
      <alignment horizontal="center" vertical="center" wrapText="1"/>
    </xf>
    <xf numFmtId="0" fontId="31" fillId="0" borderId="73" xfId="372" applyFont="1" applyBorder="1" applyAlignment="1">
      <alignment horizontal="center" vertical="center" wrapText="1"/>
    </xf>
    <xf numFmtId="0" fontId="16" fillId="5" borderId="24" xfId="372" applyFill="1" applyBorder="1" applyAlignment="1">
      <alignment horizontal="left" wrapText="1"/>
    </xf>
    <xf numFmtId="0" fontId="66" fillId="23" borderId="56" xfId="372" applyFont="1" applyFill="1" applyBorder="1" applyAlignment="1">
      <alignment horizontal="center"/>
    </xf>
    <xf numFmtId="0" fontId="71" fillId="3" borderId="4" xfId="372" applyFont="1" applyFill="1" applyBorder="1" applyAlignment="1">
      <alignment horizontal="center" vertical="center" wrapText="1"/>
    </xf>
    <xf numFmtId="0" fontId="48" fillId="5" borderId="27" xfId="372" applyFont="1" applyFill="1" applyBorder="1" applyAlignment="1">
      <alignment horizontal="left" wrapText="1"/>
    </xf>
    <xf numFmtId="0" fontId="31" fillId="5" borderId="27" xfId="372" applyFont="1" applyFill="1" applyBorder="1" applyAlignment="1">
      <alignment horizontal="center"/>
    </xf>
    <xf numFmtId="0" fontId="16" fillId="0" borderId="4" xfId="372" applyBorder="1" applyAlignment="1">
      <alignment horizontal="center" vertical="center" wrapText="1"/>
    </xf>
    <xf numFmtId="0" fontId="16" fillId="0" borderId="6" xfId="372" applyBorder="1" applyAlignment="1">
      <alignment horizontal="center" vertical="center" wrapText="1"/>
    </xf>
    <xf numFmtId="0" fontId="64" fillId="0" borderId="75" xfId="372" applyFont="1" applyBorder="1" applyAlignment="1">
      <alignment horizontal="center" vertical="center" wrapText="1"/>
    </xf>
    <xf numFmtId="0" fontId="64" fillId="0" borderId="56" xfId="372" applyFont="1" applyBorder="1" applyAlignment="1">
      <alignment horizontal="center" vertical="center" wrapText="1"/>
    </xf>
    <xf numFmtId="0" fontId="64" fillId="0" borderId="57" xfId="372" applyFont="1" applyBorder="1" applyAlignment="1">
      <alignment horizontal="center" vertical="center" wrapText="1"/>
    </xf>
    <xf numFmtId="0" fontId="64" fillId="0" borderId="3" xfId="372" applyFont="1" applyBorder="1" applyAlignment="1">
      <alignment horizontal="center" vertical="center" wrapText="1"/>
    </xf>
    <xf numFmtId="0" fontId="64" fillId="0" borderId="0" xfId="372" applyFont="1" applyAlignment="1">
      <alignment horizontal="center" vertical="center" wrapText="1"/>
    </xf>
    <xf numFmtId="0" fontId="64" fillId="0" borderId="46" xfId="372" applyFont="1" applyBorder="1" applyAlignment="1">
      <alignment horizontal="center" vertical="center" wrapText="1"/>
    </xf>
    <xf numFmtId="0" fontId="64" fillId="0" borderId="34" xfId="372" applyFont="1" applyBorder="1" applyAlignment="1">
      <alignment horizontal="center" vertical="center" wrapText="1"/>
    </xf>
    <xf numFmtId="0" fontId="64" fillId="0" borderId="27" xfId="372" applyFont="1" applyBorder="1" applyAlignment="1">
      <alignment horizontal="center" vertical="center" wrapText="1"/>
    </xf>
    <xf numFmtId="0" fontId="64" fillId="0" borderId="19" xfId="372" applyFont="1" applyBorder="1" applyAlignment="1">
      <alignment horizontal="center" vertical="center" wrapText="1"/>
    </xf>
    <xf numFmtId="0" fontId="31" fillId="0" borderId="8" xfId="372" applyFont="1" applyBorder="1" applyAlignment="1">
      <alignment horizontal="center" vertical="center" wrapText="1"/>
    </xf>
    <xf numFmtId="0" fontId="64" fillId="4" borderId="36" xfId="372" applyFont="1" applyFill="1" applyBorder="1" applyAlignment="1">
      <alignment horizontal="center" vertical="center"/>
    </xf>
    <xf numFmtId="0" fontId="64" fillId="4" borderId="56" xfId="372" applyFont="1" applyFill="1" applyBorder="1" applyAlignment="1">
      <alignment horizontal="center" vertical="center"/>
    </xf>
    <xf numFmtId="0" fontId="64" fillId="4" borderId="57" xfId="372" applyFont="1" applyFill="1" applyBorder="1" applyAlignment="1">
      <alignment horizontal="center" vertical="center"/>
    </xf>
    <xf numFmtId="0" fontId="64" fillId="4" borderId="58" xfId="372" applyFont="1" applyFill="1" applyBorder="1" applyAlignment="1">
      <alignment horizontal="center" vertical="center"/>
    </xf>
    <xf numFmtId="0" fontId="64" fillId="4" borderId="27" xfId="372" applyFont="1" applyFill="1" applyBorder="1" applyAlignment="1">
      <alignment horizontal="center" vertical="center"/>
    </xf>
    <xf numFmtId="0" fontId="64" fillId="4" borderId="19" xfId="372" applyFont="1" applyFill="1" applyBorder="1" applyAlignment="1">
      <alignment horizontal="center" vertical="center"/>
    </xf>
    <xf numFmtId="0" fontId="99" fillId="4" borderId="4" xfId="372" applyFont="1" applyFill="1" applyBorder="1" applyAlignment="1">
      <alignment horizontal="center" vertical="center" wrapText="1"/>
    </xf>
    <xf numFmtId="0" fontId="99" fillId="4" borderId="40" xfId="372" applyFont="1" applyFill="1" applyBorder="1" applyAlignment="1">
      <alignment horizontal="center" vertical="center" wrapText="1"/>
    </xf>
    <xf numFmtId="0" fontId="64" fillId="4" borderId="37" xfId="372" applyFont="1" applyFill="1" applyBorder="1" applyAlignment="1">
      <alignment horizontal="center" vertical="center"/>
    </xf>
    <xf numFmtId="0" fontId="64" fillId="4" borderId="39" xfId="372" applyFont="1" applyFill="1" applyBorder="1" applyAlignment="1">
      <alignment horizontal="center" vertical="center"/>
    </xf>
    <xf numFmtId="0" fontId="15" fillId="0" borderId="0" xfId="0" applyFont="1" applyAlignment="1">
      <alignment horizontal="center"/>
    </xf>
    <xf numFmtId="0" fontId="48" fillId="5" borderId="41" xfId="372" applyFont="1" applyFill="1" applyBorder="1" applyAlignment="1">
      <alignment horizontal="left" wrapText="1"/>
    </xf>
    <xf numFmtId="0" fontId="48" fillId="5" borderId="45" xfId="372" applyFont="1" applyFill="1" applyBorder="1" applyAlignment="1">
      <alignment horizontal="left" wrapText="1"/>
    </xf>
    <xf numFmtId="0" fontId="15" fillId="31" borderId="0" xfId="0" applyFont="1" applyFill="1" applyAlignment="1">
      <alignment horizontal="center"/>
    </xf>
    <xf numFmtId="0" fontId="15" fillId="24" borderId="0" xfId="0" applyFont="1" applyFill="1" applyAlignment="1">
      <alignment horizontal="center"/>
    </xf>
    <xf numFmtId="0" fontId="15" fillId="15" borderId="0" xfId="0" applyFont="1" applyFill="1" applyAlignment="1">
      <alignment horizontal="center"/>
    </xf>
    <xf numFmtId="0" fontId="15" fillId="25" borderId="0" xfId="0" applyFont="1" applyFill="1" applyAlignment="1">
      <alignment horizontal="center"/>
    </xf>
    <xf numFmtId="0" fontId="66" fillId="23" borderId="23" xfId="372" applyFont="1" applyFill="1" applyBorder="1" applyAlignment="1">
      <alignment horizontal="center"/>
    </xf>
    <xf numFmtId="0" fontId="66" fillId="23" borderId="24" xfId="372" applyFont="1" applyFill="1" applyBorder="1" applyAlignment="1">
      <alignment horizontal="center"/>
    </xf>
    <xf numFmtId="0" fontId="70" fillId="0" borderId="33" xfId="372" applyFont="1" applyBorder="1" applyAlignment="1">
      <alignment horizontal="center" vertical="center" wrapText="1"/>
    </xf>
    <xf numFmtId="0" fontId="70" fillId="0" borderId="0" xfId="372" applyFont="1" applyAlignment="1">
      <alignment horizontal="center" vertical="center" wrapText="1"/>
    </xf>
    <xf numFmtId="0" fontId="70" fillId="0" borderId="46" xfId="372" applyFont="1" applyBorder="1" applyAlignment="1">
      <alignment horizontal="center" vertical="center" wrapText="1"/>
    </xf>
    <xf numFmtId="0" fontId="70" fillId="0" borderId="58" xfId="372" applyFont="1" applyBorder="1" applyAlignment="1">
      <alignment horizontal="center" vertical="center" wrapText="1"/>
    </xf>
    <xf numFmtId="0" fontId="70" fillId="0" borderId="27" xfId="372" applyFont="1" applyBorder="1" applyAlignment="1">
      <alignment horizontal="center" vertical="center" wrapText="1"/>
    </xf>
    <xf numFmtId="0" fontId="70" fillId="0" borderId="19" xfId="372" applyFont="1" applyBorder="1" applyAlignment="1">
      <alignment horizontal="center" vertical="center" wrapText="1"/>
    </xf>
    <xf numFmtId="2" fontId="52" fillId="30" borderId="4" xfId="372" applyNumberFormat="1" applyFont="1" applyFill="1" applyBorder="1" applyAlignment="1">
      <alignment horizontal="center"/>
    </xf>
    <xf numFmtId="2" fontId="52" fillId="30" borderId="40" xfId="372" applyNumberFormat="1" applyFont="1" applyFill="1" applyBorder="1" applyAlignment="1">
      <alignment horizontal="center"/>
    </xf>
    <xf numFmtId="2" fontId="48" fillId="32" borderId="4" xfId="372" applyNumberFormat="1" applyFont="1" applyFill="1" applyBorder="1" applyAlignment="1">
      <alignment horizontal="center"/>
    </xf>
    <xf numFmtId="2" fontId="48" fillId="32" borderId="40" xfId="372" applyNumberFormat="1" applyFont="1" applyFill="1" applyBorder="1" applyAlignment="1">
      <alignment horizontal="center"/>
    </xf>
    <xf numFmtId="2" fontId="48" fillId="21" borderId="4" xfId="372" applyNumberFormat="1" applyFont="1" applyFill="1" applyBorder="1" applyAlignment="1">
      <alignment horizontal="center"/>
    </xf>
    <xf numFmtId="2" fontId="48" fillId="21" borderId="40" xfId="372" applyNumberFormat="1" applyFont="1" applyFill="1" applyBorder="1" applyAlignment="1">
      <alignment horizontal="center"/>
    </xf>
    <xf numFmtId="2" fontId="53" fillId="22" borderId="42" xfId="372" applyNumberFormat="1" applyFont="1" applyFill="1" applyBorder="1" applyAlignment="1">
      <alignment horizontal="center"/>
    </xf>
    <xf numFmtId="2" fontId="53" fillId="22" borderId="44" xfId="372" applyNumberFormat="1" applyFont="1" applyFill="1" applyBorder="1" applyAlignment="1">
      <alignment horizontal="center"/>
    </xf>
    <xf numFmtId="0" fontId="16" fillId="4" borderId="13" xfId="372" applyFill="1" applyBorder="1" applyAlignment="1">
      <alignment horizontal="left" vertical="center" wrapText="1"/>
    </xf>
    <xf numFmtId="0" fontId="16" fillId="4" borderId="5" xfId="372" applyFill="1" applyBorder="1" applyAlignment="1">
      <alignment horizontal="left" vertical="center" wrapText="1"/>
    </xf>
    <xf numFmtId="0" fontId="16" fillId="4" borderId="40" xfId="372" applyFill="1" applyBorder="1" applyAlignment="1">
      <alignment horizontal="left" vertical="center" wrapText="1"/>
    </xf>
    <xf numFmtId="0" fontId="61" fillId="4" borderId="29" xfId="372" applyFont="1" applyFill="1" applyBorder="1" applyAlignment="1">
      <alignment horizontal="left"/>
    </xf>
    <xf numFmtId="0" fontId="61" fillId="4" borderId="43" xfId="372" applyFont="1" applyFill="1" applyBorder="1" applyAlignment="1">
      <alignment horizontal="left"/>
    </xf>
    <xf numFmtId="0" fontId="61" fillId="4" borderId="32" xfId="372" applyFont="1" applyFill="1" applyBorder="1" applyAlignment="1">
      <alignment horizontal="left"/>
    </xf>
    <xf numFmtId="0" fontId="16" fillId="4" borderId="4" xfId="372" applyFill="1" applyBorder="1" applyAlignment="1">
      <alignment horizontal="left" vertical="center" wrapText="1"/>
    </xf>
    <xf numFmtId="0" fontId="16" fillId="4" borderId="6" xfId="372" applyFill="1" applyBorder="1" applyAlignment="1">
      <alignment horizontal="left" vertical="center" wrapText="1"/>
    </xf>
    <xf numFmtId="0" fontId="48" fillId="0" borderId="4" xfId="372" applyFont="1" applyBorder="1" applyAlignment="1" applyProtection="1">
      <alignment horizontal="left"/>
      <protection locked="0"/>
    </xf>
    <xf numFmtId="0" fontId="48" fillId="0" borderId="5" xfId="372" applyFont="1" applyBorder="1" applyAlignment="1" applyProtection="1">
      <alignment horizontal="left"/>
      <protection locked="0"/>
    </xf>
    <xf numFmtId="0" fontId="48" fillId="0" borderId="6" xfId="372" applyFont="1" applyBorder="1" applyAlignment="1" applyProtection="1">
      <alignment horizontal="left"/>
      <protection locked="0"/>
    </xf>
    <xf numFmtId="2" fontId="48" fillId="12" borderId="4" xfId="372" applyNumberFormat="1" applyFont="1" applyFill="1" applyBorder="1" applyAlignment="1">
      <alignment horizontal="center"/>
    </xf>
    <xf numFmtId="2" fontId="48" fillId="12" borderId="40" xfId="372" applyNumberFormat="1" applyFont="1" applyFill="1" applyBorder="1" applyAlignment="1">
      <alignment horizontal="center"/>
    </xf>
    <xf numFmtId="2" fontId="16" fillId="0" borderId="4" xfId="372" applyNumberFormat="1" applyBorder="1" applyAlignment="1">
      <alignment horizontal="center"/>
    </xf>
    <xf numFmtId="2" fontId="16" fillId="0" borderId="40" xfId="372" applyNumberFormat="1" applyBorder="1" applyAlignment="1">
      <alignment horizontal="center"/>
    </xf>
    <xf numFmtId="0" fontId="105" fillId="0" borderId="0" xfId="0" applyFont="1" applyAlignment="1">
      <alignment horizontal="left" vertical="center" wrapText="1"/>
    </xf>
    <xf numFmtId="0" fontId="66" fillId="23" borderId="25" xfId="372" applyFont="1" applyFill="1" applyBorder="1" applyAlignment="1">
      <alignment horizontal="center"/>
    </xf>
    <xf numFmtId="176" fontId="16" fillId="0" borderId="56" xfId="372" applyNumberFormat="1" applyBorder="1" applyAlignment="1">
      <alignment horizontal="center"/>
    </xf>
    <xf numFmtId="0" fontId="64" fillId="4" borderId="36" xfId="372" applyFont="1" applyFill="1" applyBorder="1" applyAlignment="1">
      <alignment horizontal="center"/>
    </xf>
    <xf numFmtId="0" fontId="64" fillId="4" borderId="56" xfId="372" applyFont="1" applyFill="1" applyBorder="1" applyAlignment="1">
      <alignment horizontal="center"/>
    </xf>
    <xf numFmtId="0" fontId="64" fillId="4" borderId="57" xfId="372" applyFont="1" applyFill="1" applyBorder="1" applyAlignment="1">
      <alignment horizontal="center"/>
    </xf>
    <xf numFmtId="0" fontId="91" fillId="2" borderId="0" xfId="372" applyFont="1" applyFill="1" applyAlignment="1">
      <alignment horizontal="left"/>
    </xf>
    <xf numFmtId="0" fontId="64" fillId="4" borderId="58" xfId="372" applyFont="1" applyFill="1" applyBorder="1" applyAlignment="1">
      <alignment horizontal="center"/>
    </xf>
    <xf numFmtId="0" fontId="64" fillId="4" borderId="27" xfId="372" applyFont="1" applyFill="1" applyBorder="1" applyAlignment="1">
      <alignment horizontal="center"/>
    </xf>
    <xf numFmtId="0" fontId="69" fillId="23" borderId="13" xfId="0" applyFont="1" applyFill="1" applyBorder="1" applyAlignment="1">
      <alignment horizontal="center"/>
    </xf>
    <xf numFmtId="0" fontId="69" fillId="23" borderId="5" xfId="0" applyFont="1" applyFill="1" applyBorder="1" applyAlignment="1">
      <alignment horizontal="center"/>
    </xf>
    <xf numFmtId="0" fontId="64" fillId="4" borderId="36" xfId="372" applyFont="1" applyFill="1" applyBorder="1" applyAlignment="1">
      <alignment horizontal="left" wrapText="1"/>
    </xf>
    <xf numFmtId="0" fontId="64" fillId="4" borderId="56" xfId="372" applyFont="1" applyFill="1" applyBorder="1" applyAlignment="1">
      <alignment horizontal="left" wrapText="1"/>
    </xf>
    <xf numFmtId="0" fontId="64" fillId="4" borderId="57" xfId="372" applyFont="1" applyFill="1" applyBorder="1" applyAlignment="1">
      <alignment horizontal="left" wrapText="1"/>
    </xf>
    <xf numFmtId="0" fontId="64" fillId="4" borderId="58" xfId="372" applyFont="1" applyFill="1" applyBorder="1" applyAlignment="1">
      <alignment horizontal="left" wrapText="1"/>
    </xf>
    <xf numFmtId="0" fontId="64" fillId="4" borderId="27" xfId="372" applyFont="1" applyFill="1" applyBorder="1" applyAlignment="1">
      <alignment horizontal="left" wrapText="1"/>
    </xf>
    <xf numFmtId="0" fontId="64" fillId="4" borderId="19" xfId="372" applyFont="1" applyFill="1" applyBorder="1" applyAlignment="1">
      <alignment horizontal="left" wrapText="1"/>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0" fontId="12" fillId="0" borderId="33" xfId="0" applyFont="1" applyBorder="1" applyAlignment="1">
      <alignment horizontal="center" wrapText="1"/>
    </xf>
    <xf numFmtId="0" fontId="12" fillId="0" borderId="0" xfId="0" applyFont="1" applyAlignment="1">
      <alignment horizontal="center" wrapText="1"/>
    </xf>
    <xf numFmtId="0" fontId="122" fillId="37" borderId="91" xfId="539" applyFont="1" applyFill="1" applyBorder="1" applyAlignment="1">
      <alignment horizontal="center" wrapText="1"/>
    </xf>
    <xf numFmtId="0" fontId="122" fillId="34" borderId="91" xfId="539" applyFont="1" applyFill="1" applyBorder="1" applyAlignment="1">
      <alignment horizontal="center" wrapText="1"/>
    </xf>
    <xf numFmtId="0" fontId="122" fillId="46" borderId="91" xfId="539" applyFont="1" applyFill="1" applyBorder="1" applyAlignment="1">
      <alignment horizontal="center" wrapText="1"/>
    </xf>
    <xf numFmtId="0" fontId="122" fillId="20" borderId="91" xfId="539" applyFont="1" applyFill="1" applyBorder="1" applyAlignment="1">
      <alignment horizontal="center" wrapText="1"/>
    </xf>
    <xf numFmtId="0" fontId="62" fillId="5" borderId="29" xfId="0" applyFont="1" applyFill="1" applyBorder="1" applyAlignment="1">
      <alignment horizontal="left" vertical="center"/>
    </xf>
    <xf numFmtId="0" fontId="62" fillId="5" borderId="43" xfId="0" applyFont="1" applyFill="1" applyBorder="1" applyAlignment="1">
      <alignment horizontal="left" vertical="center"/>
    </xf>
    <xf numFmtId="0" fontId="62" fillId="5" borderId="32" xfId="0" applyFont="1" applyFill="1" applyBorder="1" applyAlignment="1">
      <alignment horizontal="left" vertical="center"/>
    </xf>
    <xf numFmtId="0" fontId="72" fillId="23" borderId="76" xfId="0" applyFont="1" applyFill="1" applyBorder="1" applyAlignment="1">
      <alignment horizontal="center" vertical="center"/>
    </xf>
    <xf numFmtId="0" fontId="72" fillId="23" borderId="77" xfId="0" applyFont="1" applyFill="1" applyBorder="1" applyAlignment="1">
      <alignment horizontal="center" vertical="center"/>
    </xf>
    <xf numFmtId="0" fontId="72" fillId="23" borderId="7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1" xfId="0" applyFont="1" applyFill="1" applyBorder="1" applyAlignment="1">
      <alignment horizontal="center" vertical="center"/>
    </xf>
    <xf numFmtId="0" fontId="11" fillId="0" borderId="24" xfId="0" applyFont="1" applyBorder="1" applyAlignment="1">
      <alignment horizontal="center" vertical="center"/>
    </xf>
    <xf numFmtId="0" fontId="72" fillId="0" borderId="41" xfId="0" applyFont="1" applyBorder="1" applyAlignment="1">
      <alignment horizontal="center" vertical="center"/>
    </xf>
    <xf numFmtId="0" fontId="72" fillId="0" borderId="45" xfId="0" applyFont="1" applyBorder="1" applyAlignment="1">
      <alignment horizontal="center" vertical="center"/>
    </xf>
    <xf numFmtId="0" fontId="0" fillId="0" borderId="24" xfId="0" applyBorder="1" applyAlignment="1">
      <alignment horizontal="center"/>
    </xf>
    <xf numFmtId="0" fontId="62" fillId="5" borderId="42" xfId="0" applyFont="1" applyFill="1" applyBorder="1" applyAlignment="1">
      <alignment horizontal="left" vertical="center"/>
    </xf>
    <xf numFmtId="0" fontId="62" fillId="5" borderId="13" xfId="0" applyFont="1" applyFill="1" applyBorder="1" applyAlignment="1">
      <alignment horizontal="left" vertical="center"/>
    </xf>
    <xf numFmtId="0" fontId="62" fillId="5" borderId="5" xfId="0" applyFont="1" applyFill="1" applyBorder="1" applyAlignment="1">
      <alignment horizontal="left" vertical="center"/>
    </xf>
    <xf numFmtId="0" fontId="62" fillId="5" borderId="6" xfId="0" applyFont="1" applyFill="1" applyBorder="1" applyAlignment="1">
      <alignment horizontal="left" vertical="center"/>
    </xf>
    <xf numFmtId="0" fontId="62" fillId="5" borderId="4" xfId="0" applyFont="1" applyFill="1" applyBorder="1" applyAlignment="1">
      <alignment horizontal="left" vertical="center"/>
    </xf>
    <xf numFmtId="0" fontId="5" fillId="4" borderId="39" xfId="0" applyFont="1" applyFill="1" applyBorder="1" applyAlignment="1">
      <alignment horizontal="center" vertical="center"/>
    </xf>
    <xf numFmtId="0" fontId="72" fillId="26" borderId="76" xfId="0" applyFont="1" applyFill="1" applyBorder="1" applyAlignment="1">
      <alignment horizontal="center" vertical="center"/>
    </xf>
    <xf numFmtId="0" fontId="72" fillId="26" borderId="77" xfId="0" applyFont="1" applyFill="1" applyBorder="1" applyAlignment="1">
      <alignment horizontal="center" vertical="center"/>
    </xf>
    <xf numFmtId="0" fontId="72" fillId="26" borderId="79" xfId="0" applyFont="1" applyFill="1" applyBorder="1" applyAlignment="1">
      <alignment horizontal="center" vertical="center"/>
    </xf>
    <xf numFmtId="49" fontId="0" fillId="5" borderId="6" xfId="0" applyNumberFormat="1" applyFill="1" applyBorder="1" applyAlignment="1" applyProtection="1">
      <alignment horizontal="left"/>
      <protection locked="0"/>
    </xf>
    <xf numFmtId="49" fontId="0" fillId="5" borderId="1" xfId="0" applyNumberFormat="1" applyFill="1" applyBorder="1" applyAlignment="1" applyProtection="1">
      <alignment horizontal="left"/>
      <protection locked="0"/>
    </xf>
    <xf numFmtId="0" fontId="89" fillId="4" borderId="58" xfId="0" applyFont="1" applyFill="1" applyBorder="1" applyAlignment="1">
      <alignment horizontal="center" vertical="center" wrapText="1"/>
    </xf>
    <xf numFmtId="0" fontId="89" fillId="4" borderId="27" xfId="0" applyFont="1" applyFill="1" applyBorder="1" applyAlignment="1">
      <alignment horizontal="center" vertical="center" wrapText="1"/>
    </xf>
    <xf numFmtId="0" fontId="89" fillId="4" borderId="70" xfId="0" applyFont="1" applyFill="1" applyBorder="1" applyAlignment="1">
      <alignment horizontal="center" vertical="center" wrapText="1"/>
    </xf>
    <xf numFmtId="0" fontId="72" fillId="23" borderId="36" xfId="0" applyFont="1" applyFill="1" applyBorder="1" applyAlignment="1">
      <alignment horizontal="center" vertical="center"/>
    </xf>
    <xf numFmtId="0" fontId="72" fillId="23" borderId="33" xfId="0" applyFont="1" applyFill="1" applyBorder="1" applyAlignment="1">
      <alignment horizontal="center" vertical="center"/>
    </xf>
    <xf numFmtId="0" fontId="72" fillId="23" borderId="41" xfId="0" applyFont="1" applyFill="1" applyBorder="1" applyAlignment="1">
      <alignment horizontal="center" vertical="center"/>
    </xf>
    <xf numFmtId="0" fontId="0" fillId="5" borderId="1" xfId="0" applyFill="1" applyBorder="1" applyAlignment="1">
      <alignment horizontal="right"/>
    </xf>
    <xf numFmtId="0" fontId="5" fillId="4" borderId="11" xfId="0" applyFont="1" applyFill="1" applyBorder="1" applyAlignment="1">
      <alignment horizontal="center"/>
    </xf>
    <xf numFmtId="0" fontId="5" fillId="4" borderId="38" xfId="0" applyFont="1" applyFill="1" applyBorder="1" applyAlignment="1">
      <alignment horizontal="center"/>
    </xf>
    <xf numFmtId="0" fontId="5" fillId="4" borderId="39" xfId="0" applyFont="1" applyFill="1" applyBorder="1" applyAlignment="1">
      <alignment horizontal="center"/>
    </xf>
    <xf numFmtId="0" fontId="55" fillId="4" borderId="49" xfId="0" applyFont="1" applyFill="1" applyBorder="1" applyAlignment="1">
      <alignment horizontal="center" vertical="center" wrapText="1"/>
    </xf>
    <xf numFmtId="0" fontId="55" fillId="4" borderId="10" xfId="0" applyFont="1" applyFill="1" applyBorder="1" applyAlignment="1">
      <alignment horizontal="center" vertical="center" wrapText="1"/>
    </xf>
    <xf numFmtId="0" fontId="55" fillId="4" borderId="72" xfId="0" applyFont="1" applyFill="1" applyBorder="1" applyAlignment="1">
      <alignment horizontal="center" vertical="center" wrapText="1"/>
    </xf>
    <xf numFmtId="2" fontId="0" fillId="5" borderId="4" xfId="0" applyNumberFormat="1" applyFill="1" applyBorder="1" applyAlignment="1">
      <alignment horizontal="center"/>
    </xf>
    <xf numFmtId="2" fontId="0" fillId="5" borderId="40" xfId="0" applyNumberFormat="1" applyFill="1" applyBorder="1" applyAlignment="1">
      <alignment horizontal="center"/>
    </xf>
    <xf numFmtId="1" fontId="0" fillId="5" borderId="1" xfId="0" applyNumberFormat="1" applyFill="1" applyBorder="1" applyAlignment="1">
      <alignment horizontal="right"/>
    </xf>
    <xf numFmtId="49" fontId="0" fillId="5" borderId="19"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13"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0" fillId="5" borderId="49" xfId="0" applyFill="1" applyBorder="1" applyAlignment="1">
      <alignment horizontal="left" wrapText="1"/>
    </xf>
    <xf numFmtId="0" fontId="0" fillId="5" borderId="10" xfId="0" applyFill="1" applyBorder="1" applyAlignment="1">
      <alignment horizontal="left" wrapText="1"/>
    </xf>
    <xf numFmtId="0" fontId="0" fillId="5" borderId="7" xfId="0" applyFill="1" applyBorder="1" applyAlignment="1">
      <alignment horizontal="left" wrapText="1"/>
    </xf>
    <xf numFmtId="0" fontId="6" fillId="5" borderId="88" xfId="0" applyFont="1" applyFill="1" applyBorder="1" applyAlignment="1">
      <alignment horizontal="left"/>
    </xf>
    <xf numFmtId="0" fontId="6" fillId="5" borderId="81" xfId="0" applyFont="1" applyFill="1" applyBorder="1" applyAlignment="1">
      <alignment horizontal="left"/>
    </xf>
    <xf numFmtId="0" fontId="6" fillId="5" borderId="82" xfId="0" applyFont="1" applyFill="1" applyBorder="1" applyAlignment="1">
      <alignment horizontal="left"/>
    </xf>
    <xf numFmtId="0" fontId="5" fillId="4" borderId="36" xfId="0" applyFont="1" applyFill="1" applyBorder="1" applyAlignment="1">
      <alignment horizontal="center" wrapText="1"/>
    </xf>
    <xf numFmtId="0" fontId="5" fillId="4" borderId="56" xfId="0" applyFont="1" applyFill="1" applyBorder="1" applyAlignment="1">
      <alignment horizontal="center" wrapText="1"/>
    </xf>
    <xf numFmtId="0" fontId="5" fillId="4" borderId="60" xfId="0" applyFont="1" applyFill="1" applyBorder="1" applyAlignment="1">
      <alignment horizontal="center" wrapText="1"/>
    </xf>
    <xf numFmtId="4" fontId="6" fillId="3" borderId="24" xfId="0" applyNumberFormat="1" applyFont="1" applyFill="1" applyBorder="1" applyAlignment="1" applyProtection="1">
      <alignment horizontal="right"/>
      <protection locked="0"/>
    </xf>
    <xf numFmtId="0" fontId="111" fillId="5" borderId="23" xfId="0" applyFont="1" applyFill="1" applyBorder="1" applyAlignment="1">
      <alignment horizontal="left" wrapText="1"/>
    </xf>
    <xf numFmtId="0" fontId="111" fillId="5" borderId="24" xfId="0" applyFont="1" applyFill="1" applyBorder="1" applyAlignment="1">
      <alignment horizontal="left" wrapText="1"/>
    </xf>
    <xf numFmtId="0" fontId="111" fillId="5" borderId="28" xfId="0" applyFont="1" applyFill="1" applyBorder="1" applyAlignment="1">
      <alignment horizontal="left" wrapText="1"/>
    </xf>
    <xf numFmtId="2" fontId="6" fillId="42" borderId="89" xfId="0" applyNumberFormat="1" applyFont="1" applyFill="1" applyBorder="1" applyAlignment="1">
      <alignment horizontal="center"/>
    </xf>
    <xf numFmtId="2" fontId="6" fillId="42" borderId="25" xfId="0" applyNumberFormat="1" applyFont="1" applyFill="1" applyBorder="1" applyAlignment="1">
      <alignment horizontal="center"/>
    </xf>
    <xf numFmtId="49" fontId="0" fillId="7" borderId="6" xfId="0" applyNumberFormat="1" applyFill="1" applyBorder="1" applyAlignment="1">
      <alignment horizontal="left" wrapText="1"/>
    </xf>
    <xf numFmtId="49" fontId="0" fillId="7" borderId="1" xfId="0" applyNumberFormat="1" applyFill="1" applyBorder="1" applyAlignment="1">
      <alignment horizontal="left" wrapText="1"/>
    </xf>
    <xf numFmtId="0" fontId="8" fillId="33" borderId="13" xfId="0" applyFont="1" applyFill="1" applyBorder="1" applyAlignment="1">
      <alignment horizontal="left"/>
    </xf>
    <xf numFmtId="0" fontId="8" fillId="33" borderId="5" xfId="0" applyFont="1" applyFill="1" applyBorder="1" applyAlignment="1">
      <alignment horizontal="left"/>
    </xf>
    <xf numFmtId="0" fontId="8" fillId="33" borderId="6" xfId="0" applyFont="1" applyFill="1" applyBorder="1" applyAlignment="1">
      <alignment horizontal="left"/>
    </xf>
    <xf numFmtId="1" fontId="0" fillId="5" borderId="8" xfId="0" applyNumberFormat="1" applyFill="1" applyBorder="1" applyAlignment="1">
      <alignment horizontal="right"/>
    </xf>
    <xf numFmtId="4" fontId="6" fillId="5" borderId="83" xfId="0" applyNumberFormat="1" applyFont="1" applyFill="1" applyBorder="1" applyAlignment="1">
      <alignment horizontal="right"/>
    </xf>
    <xf numFmtId="2" fontId="0" fillId="5" borderId="2" xfId="0" applyNumberFormat="1" applyFill="1" applyBorder="1" applyAlignment="1">
      <alignment horizontal="center"/>
    </xf>
    <xf numFmtId="2" fontId="0" fillId="5" borderId="72" xfId="0" applyNumberFormat="1" applyFill="1" applyBorder="1" applyAlignment="1">
      <alignment horizontal="center"/>
    </xf>
    <xf numFmtId="2" fontId="6" fillId="5" borderId="80" xfId="0" applyNumberFormat="1" applyFont="1" applyFill="1" applyBorder="1" applyAlignment="1">
      <alignment horizontal="center"/>
    </xf>
    <xf numFmtId="2" fontId="6" fillId="5" borderId="84" xfId="0" applyNumberFormat="1" applyFont="1" applyFill="1" applyBorder="1" applyAlignment="1">
      <alignment horizontal="center"/>
    </xf>
    <xf numFmtId="0" fontId="0" fillId="5" borderId="13"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75" fillId="2" borderId="0" xfId="0" applyNumberFormat="1" applyFont="1" applyFill="1" applyAlignment="1">
      <alignment horizontal="left" wrapText="1"/>
    </xf>
    <xf numFmtId="2" fontId="73" fillId="2" borderId="0" xfId="0" applyNumberFormat="1" applyFont="1" applyFill="1" applyAlignment="1">
      <alignment horizontal="left" wrapText="1"/>
    </xf>
    <xf numFmtId="2" fontId="76" fillId="2" borderId="0" xfId="0" applyNumberFormat="1" applyFont="1" applyFill="1" applyAlignment="1">
      <alignment horizontal="left" wrapText="1"/>
    </xf>
    <xf numFmtId="0" fontId="6" fillId="4" borderId="13" xfId="0" applyFont="1" applyFill="1" applyBorder="1" applyAlignment="1">
      <alignment horizontal="left"/>
    </xf>
    <xf numFmtId="0" fontId="6" fillId="4" borderId="5" xfId="0" applyFont="1" applyFill="1" applyBorder="1" applyAlignment="1">
      <alignment horizontal="left"/>
    </xf>
    <xf numFmtId="0" fontId="6" fillId="4" borderId="6" xfId="0" applyFont="1"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49" fontId="0" fillId="4" borderId="23" xfId="0" applyNumberFormat="1" applyFill="1" applyBorder="1" applyAlignment="1">
      <alignment horizontal="left" wrapText="1"/>
    </xf>
    <xf numFmtId="49" fontId="0" fillId="4" borderId="24" xfId="0" applyNumberFormat="1" applyFill="1" applyBorder="1" applyAlignment="1">
      <alignment horizontal="left" wrapText="1"/>
    </xf>
    <xf numFmtId="49" fontId="0" fillId="4" borderId="28" xfId="0" applyNumberFormat="1" applyFill="1" applyBorder="1" applyAlignment="1">
      <alignment horizontal="left" wrapText="1"/>
    </xf>
    <xf numFmtId="49" fontId="6" fillId="4" borderId="43" xfId="0" applyNumberFormat="1" applyFont="1" applyFill="1" applyBorder="1" applyAlignment="1">
      <alignment horizontal="left" wrapText="1"/>
    </xf>
    <xf numFmtId="49" fontId="6" fillId="4" borderId="32" xfId="0" applyNumberFormat="1" applyFont="1" applyFill="1" applyBorder="1" applyAlignment="1">
      <alignment horizontal="left" wrapText="1"/>
    </xf>
    <xf numFmtId="49" fontId="0" fillId="5" borderId="27" xfId="0" applyNumberFormat="1" applyFill="1" applyBorder="1" applyAlignment="1">
      <alignment horizontal="left"/>
    </xf>
    <xf numFmtId="49" fontId="0" fillId="5" borderId="19" xfId="0" applyNumberFormat="1" applyFill="1" applyBorder="1" applyAlignment="1">
      <alignment horizontal="left"/>
    </xf>
    <xf numFmtId="49" fontId="6" fillId="3" borderId="23" xfId="0" applyNumberFormat="1" applyFont="1" applyFill="1" applyBorder="1" applyAlignment="1" applyProtection="1">
      <alignment horizontal="center" wrapText="1"/>
      <protection locked="0"/>
    </xf>
    <xf numFmtId="49" fontId="6" fillId="3" borderId="24" xfId="0" applyNumberFormat="1" applyFont="1" applyFill="1" applyBorder="1" applyAlignment="1" applyProtection="1">
      <alignment horizontal="center" wrapText="1"/>
      <protection locked="0"/>
    </xf>
    <xf numFmtId="49" fontId="6" fillId="3" borderId="25" xfId="0" applyNumberFormat="1" applyFont="1" applyFill="1" applyBorder="1" applyAlignment="1" applyProtection="1">
      <alignment horizontal="center" wrapText="1"/>
      <protection locked="0"/>
    </xf>
    <xf numFmtId="49" fontId="6" fillId="4" borderId="23" xfId="0" applyNumberFormat="1" applyFont="1" applyFill="1" applyBorder="1" applyAlignment="1">
      <alignment horizontal="left" wrapText="1"/>
    </xf>
    <xf numFmtId="49" fontId="6" fillId="4" borderId="24" xfId="0" applyNumberFormat="1" applyFont="1" applyFill="1" applyBorder="1" applyAlignment="1">
      <alignment horizontal="left" wrapText="1"/>
    </xf>
    <xf numFmtId="49" fontId="6" fillId="4" borderId="25" xfId="0" applyNumberFormat="1" applyFont="1" applyFill="1" applyBorder="1" applyAlignment="1">
      <alignment horizontal="left" wrapText="1"/>
    </xf>
    <xf numFmtId="0" fontId="55" fillId="4" borderId="55" xfId="0" applyFont="1" applyFill="1" applyBorder="1" applyAlignment="1">
      <alignment horizontal="left" vertical="center"/>
    </xf>
    <xf numFmtId="0" fontId="122" fillId="46" borderId="25" xfId="539" applyFont="1" applyFill="1" applyBorder="1" applyAlignment="1">
      <alignment horizontal="center" wrapText="1"/>
    </xf>
    <xf numFmtId="2" fontId="14" fillId="28" borderId="29" xfId="0" applyNumberFormat="1" applyFont="1" applyFill="1" applyBorder="1" applyAlignment="1">
      <alignment horizontal="center"/>
    </xf>
    <xf numFmtId="2" fontId="14" fillId="28" borderId="43" xfId="0" applyNumberFormat="1" applyFont="1" applyFill="1" applyBorder="1" applyAlignment="1">
      <alignment horizontal="center"/>
    </xf>
    <xf numFmtId="2" fontId="14" fillId="28" borderId="44" xfId="0" applyNumberFormat="1" applyFont="1" applyFill="1" applyBorder="1" applyAlignment="1">
      <alignment horizontal="center"/>
    </xf>
    <xf numFmtId="2" fontId="102" fillId="2" borderId="36" xfId="0" applyNumberFormat="1" applyFont="1" applyFill="1" applyBorder="1" applyAlignment="1">
      <alignment horizontal="left" wrapText="1"/>
    </xf>
    <xf numFmtId="2" fontId="102" fillId="2" borderId="56" xfId="0" applyNumberFormat="1" applyFont="1" applyFill="1" applyBorder="1" applyAlignment="1">
      <alignment horizontal="left" wrapText="1"/>
    </xf>
    <xf numFmtId="2" fontId="102" fillId="2" borderId="60" xfId="0" applyNumberFormat="1" applyFont="1" applyFill="1" applyBorder="1" applyAlignment="1">
      <alignment horizontal="left" wrapText="1"/>
    </xf>
    <xf numFmtId="2" fontId="102" fillId="2" borderId="33" xfId="0" applyNumberFormat="1" applyFont="1" applyFill="1" applyBorder="1" applyAlignment="1">
      <alignment horizontal="left" wrapText="1"/>
    </xf>
    <xf numFmtId="2" fontId="102" fillId="2" borderId="0" xfId="0" applyNumberFormat="1" applyFont="1" applyFill="1" applyAlignment="1">
      <alignment horizontal="left" wrapText="1"/>
    </xf>
    <xf numFmtId="2" fontId="102" fillId="2" borderId="73" xfId="0" applyNumberFormat="1" applyFont="1" applyFill="1" applyBorder="1" applyAlignment="1">
      <alignment horizontal="left" wrapText="1"/>
    </xf>
    <xf numFmtId="2" fontId="102" fillId="2" borderId="41" xfId="0" applyNumberFormat="1" applyFont="1" applyFill="1" applyBorder="1" applyAlignment="1">
      <alignment horizontal="left" wrapText="1"/>
    </xf>
    <xf numFmtId="2" fontId="102" fillId="2" borderId="45" xfId="0" applyNumberFormat="1" applyFont="1" applyFill="1" applyBorder="1" applyAlignment="1">
      <alignment horizontal="left" wrapText="1"/>
    </xf>
    <xf numFmtId="2" fontId="102" fillId="2" borderId="71" xfId="0" applyNumberFormat="1" applyFont="1" applyFill="1" applyBorder="1" applyAlignment="1">
      <alignment horizontal="left" wrapText="1"/>
    </xf>
    <xf numFmtId="0" fontId="102" fillId="0" borderId="0" xfId="0" applyFont="1" applyAlignment="1">
      <alignment horizontal="left" wrapText="1"/>
    </xf>
    <xf numFmtId="14" fontId="83" fillId="23" borderId="45" xfId="0" applyNumberFormat="1" applyFont="1" applyFill="1" applyBorder="1" applyAlignment="1">
      <alignment horizontal="center"/>
    </xf>
    <xf numFmtId="14" fontId="83" fillId="23" borderId="71" xfId="0" applyNumberFormat="1" applyFont="1" applyFill="1" applyBorder="1" applyAlignment="1">
      <alignment horizontal="center"/>
    </xf>
    <xf numFmtId="0" fontId="83" fillId="23" borderId="11" xfId="0" applyFont="1" applyFill="1" applyBorder="1" applyAlignment="1">
      <alignment horizontal="center"/>
    </xf>
    <xf numFmtId="0" fontId="83" fillId="23" borderId="38" xfId="0" applyFont="1" applyFill="1" applyBorder="1" applyAlignment="1">
      <alignment horizontal="center"/>
    </xf>
    <xf numFmtId="0" fontId="83" fillId="23" borderId="39" xfId="0" applyFont="1" applyFill="1" applyBorder="1" applyAlignment="1">
      <alignment horizontal="center"/>
    </xf>
    <xf numFmtId="0" fontId="83" fillId="23" borderId="23" xfId="0" applyFont="1" applyFill="1" applyBorder="1" applyAlignment="1">
      <alignment horizontal="left"/>
    </xf>
    <xf numFmtId="0" fontId="83" fillId="23" borderId="24" xfId="0" applyFont="1" applyFill="1" applyBorder="1" applyAlignment="1">
      <alignment horizontal="left"/>
    </xf>
    <xf numFmtId="0" fontId="83" fillId="23" borderId="54" xfId="0" applyFont="1" applyFill="1" applyBorder="1" applyAlignment="1">
      <alignment horizontal="center" vertical="center" textRotation="90"/>
    </xf>
    <xf numFmtId="0" fontId="83" fillId="23" borderId="26" xfId="0" applyFont="1" applyFill="1" applyBorder="1" applyAlignment="1">
      <alignment horizontal="center" vertical="center" textRotation="90"/>
    </xf>
    <xf numFmtId="0" fontId="83" fillId="23" borderId="9" xfId="0" applyFont="1" applyFill="1" applyBorder="1" applyAlignment="1">
      <alignment horizontal="center" vertical="center" textRotation="90"/>
    </xf>
    <xf numFmtId="0" fontId="83" fillId="23" borderId="15" xfId="0" applyFont="1" applyFill="1" applyBorder="1" applyAlignment="1">
      <alignment horizontal="center" vertical="center" textRotation="90"/>
    </xf>
    <xf numFmtId="0" fontId="83" fillId="23" borderId="37" xfId="0" applyFont="1" applyFill="1" applyBorder="1" applyAlignment="1">
      <alignment horizontal="center"/>
    </xf>
    <xf numFmtId="0" fontId="0" fillId="0" borderId="1" xfId="0" applyBorder="1" applyAlignment="1">
      <alignment horizontal="left"/>
    </xf>
    <xf numFmtId="0" fontId="0" fillId="0" borderId="16" xfId="0" applyBorder="1" applyAlignment="1">
      <alignment horizontal="left"/>
    </xf>
    <xf numFmtId="0" fontId="72" fillId="23" borderId="76" xfId="0" applyFont="1" applyFill="1" applyBorder="1" applyAlignment="1">
      <alignment horizontal="center" vertical="center" textRotation="90"/>
    </xf>
    <xf numFmtId="0" fontId="72" fillId="23" borderId="77" xfId="0" applyFont="1" applyFill="1" applyBorder="1" applyAlignment="1">
      <alignment horizontal="center" vertical="center" textRotation="90"/>
    </xf>
    <xf numFmtId="0" fontId="72" fillId="23" borderId="79" xfId="0" applyFont="1" applyFill="1" applyBorder="1" applyAlignment="1">
      <alignment horizontal="center" vertical="center" textRotation="90"/>
    </xf>
    <xf numFmtId="0" fontId="0" fillId="2" borderId="54" xfId="0" applyFill="1" applyBorder="1" applyAlignment="1">
      <alignment horizontal="left"/>
    </xf>
    <xf numFmtId="0" fontId="0" fillId="2" borderId="55" xfId="0" applyFill="1" applyBorder="1" applyAlignment="1">
      <alignment horizontal="left"/>
    </xf>
    <xf numFmtId="14" fontId="83" fillId="23" borderId="0" xfId="0" applyNumberFormat="1" applyFont="1" applyFill="1" applyAlignment="1">
      <alignment horizontal="center"/>
    </xf>
    <xf numFmtId="0" fontId="0" fillId="0" borderId="9" xfId="0" applyBorder="1" applyAlignment="1">
      <alignment horizontal="left"/>
    </xf>
    <xf numFmtId="0" fontId="83" fillId="23" borderId="75" xfId="0" applyFont="1" applyFill="1" applyBorder="1" applyAlignment="1">
      <alignment horizontal="center"/>
    </xf>
    <xf numFmtId="0" fontId="83" fillId="23" borderId="56" xfId="0" applyFont="1" applyFill="1" applyBorder="1" applyAlignment="1">
      <alignment horizontal="center"/>
    </xf>
    <xf numFmtId="0" fontId="0" fillId="4" borderId="29" xfId="0" applyFill="1" applyBorder="1" applyAlignment="1">
      <alignment horizontal="center"/>
    </xf>
    <xf numFmtId="0" fontId="0" fillId="4" borderId="43" xfId="0" applyFill="1" applyBorder="1" applyAlignment="1">
      <alignment horizontal="center"/>
    </xf>
    <xf numFmtId="0" fontId="0" fillId="4" borderId="44" xfId="0" applyFill="1" applyBorder="1" applyAlignment="1">
      <alignment horizontal="center"/>
    </xf>
    <xf numFmtId="0" fontId="54" fillId="44" borderId="4" xfId="374" applyFont="1" applyFill="1" applyBorder="1" applyAlignment="1">
      <alignment horizontal="left"/>
    </xf>
    <xf numFmtId="0" fontId="54" fillId="44" borderId="5" xfId="374" applyFont="1" applyFill="1" applyBorder="1" applyAlignment="1">
      <alignment horizontal="left"/>
    </xf>
    <xf numFmtId="0" fontId="54" fillId="44" borderId="6" xfId="374" applyFont="1" applyFill="1" applyBorder="1" applyAlignment="1">
      <alignment horizontal="left"/>
    </xf>
    <xf numFmtId="0" fontId="54" fillId="45" borderId="5" xfId="0" applyFont="1" applyFill="1" applyBorder="1" applyAlignment="1">
      <alignment horizontal="right"/>
    </xf>
    <xf numFmtId="0" fontId="54" fillId="45" borderId="6" xfId="0" applyFont="1" applyFill="1" applyBorder="1" applyAlignment="1">
      <alignment horizontal="right"/>
    </xf>
    <xf numFmtId="0" fontId="31" fillId="34" borderId="4" xfId="374" applyFont="1" applyFill="1" applyBorder="1" applyAlignment="1">
      <alignment horizontal="left"/>
    </xf>
    <xf numFmtId="0" fontId="31" fillId="34" borderId="5" xfId="374" applyFont="1" applyFill="1" applyBorder="1" applyAlignment="1">
      <alignment horizontal="left"/>
    </xf>
    <xf numFmtId="0" fontId="31" fillId="34" borderId="6" xfId="374" applyFont="1" applyFill="1" applyBorder="1" applyAlignment="1">
      <alignment horizontal="left"/>
    </xf>
    <xf numFmtId="0" fontId="31" fillId="24" borderId="4" xfId="374" applyFont="1" applyFill="1" applyBorder="1" applyAlignment="1">
      <alignment horizontal="left"/>
    </xf>
    <xf numFmtId="0" fontId="31" fillId="24" borderId="5" xfId="374" applyFont="1" applyFill="1" applyBorder="1" applyAlignment="1">
      <alignment horizontal="left"/>
    </xf>
    <xf numFmtId="0" fontId="31" fillId="24" borderId="6" xfId="374" applyFont="1" applyFill="1" applyBorder="1" applyAlignment="1">
      <alignment horizontal="left"/>
    </xf>
    <xf numFmtId="0" fontId="54" fillId="15" borderId="4" xfId="374" applyFont="1" applyFill="1" applyBorder="1" applyAlignment="1">
      <alignment horizontal="left"/>
    </xf>
    <xf numFmtId="0" fontId="54" fillId="15" borderId="5" xfId="374" applyFont="1" applyFill="1" applyBorder="1" applyAlignment="1">
      <alignment horizontal="left"/>
    </xf>
    <xf numFmtId="0" fontId="54" fillId="15" borderId="6" xfId="374" applyFont="1" applyFill="1" applyBorder="1" applyAlignment="1">
      <alignment horizontal="left"/>
    </xf>
    <xf numFmtId="0" fontId="54" fillId="25" borderId="4" xfId="374" applyFont="1" applyFill="1" applyBorder="1" applyAlignment="1">
      <alignment horizontal="left"/>
    </xf>
    <xf numFmtId="0" fontId="54" fillId="25" borderId="5" xfId="374" applyFont="1" applyFill="1" applyBorder="1" applyAlignment="1">
      <alignment horizontal="left"/>
    </xf>
    <xf numFmtId="0" fontId="54" fillId="25" borderId="6" xfId="374" applyFont="1" applyFill="1" applyBorder="1" applyAlignment="1">
      <alignment horizontal="left"/>
    </xf>
    <xf numFmtId="0" fontId="54" fillId="43" borderId="4" xfId="374" applyFont="1" applyFill="1" applyBorder="1" applyAlignment="1">
      <alignment horizontal="left"/>
    </xf>
    <xf numFmtId="0" fontId="54" fillId="43" borderId="5" xfId="374" applyFont="1" applyFill="1" applyBorder="1" applyAlignment="1">
      <alignment horizontal="left"/>
    </xf>
    <xf numFmtId="0" fontId="54" fillId="43" borderId="6" xfId="374" applyFont="1" applyFill="1" applyBorder="1" applyAlignment="1">
      <alignment horizontal="left"/>
    </xf>
    <xf numFmtId="0" fontId="0" fillId="0" borderId="0" xfId="0" applyAlignment="1">
      <alignment wrapText="1"/>
    </xf>
    <xf numFmtId="0" fontId="0" fillId="5" borderId="4" xfId="0" applyFill="1" applyBorder="1" applyAlignment="1">
      <alignment horizontal="center"/>
    </xf>
    <xf numFmtId="0" fontId="0" fillId="5" borderId="1" xfId="0" applyFill="1" applyBorder="1" applyAlignment="1">
      <alignment horizontal="center"/>
    </xf>
    <xf numFmtId="0" fontId="12"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0" fillId="4" borderId="4" xfId="0" applyFill="1" applyBorder="1" applyAlignment="1">
      <alignment horizontal="left" wrapText="1"/>
    </xf>
    <xf numFmtId="0" fontId="0" fillId="4" borderId="6" xfId="0" applyFill="1" applyBorder="1" applyAlignment="1">
      <alignment horizontal="left" wrapText="1"/>
    </xf>
    <xf numFmtId="0" fontId="12" fillId="5" borderId="4"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9" fillId="5" borderId="8" xfId="0" applyFont="1" applyFill="1" applyBorder="1" applyAlignment="1">
      <alignment horizontal="center" vertical="center" textRotation="90" wrapText="1"/>
    </xf>
    <xf numFmtId="0" fontId="9" fillId="5" borderId="35"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6" fillId="4" borderId="23" xfId="0" applyFont="1" applyFill="1" applyBorder="1" applyAlignment="1">
      <alignment horizontal="left" wrapText="1"/>
    </xf>
    <xf numFmtId="0" fontId="6" fillId="4" borderId="28" xfId="0" applyFont="1" applyFill="1" applyBorder="1" applyAlignment="1">
      <alignment horizontal="left" wrapText="1"/>
    </xf>
    <xf numFmtId="175" fontId="69" fillId="23" borderId="5" xfId="0" applyNumberFormat="1" applyFont="1" applyFill="1" applyBorder="1" applyAlignment="1">
      <alignment horizontal="center"/>
    </xf>
    <xf numFmtId="175" fontId="69" fillId="23" borderId="40" xfId="0" applyNumberFormat="1" applyFont="1" applyFill="1" applyBorder="1" applyAlignment="1">
      <alignment horizontal="center"/>
    </xf>
    <xf numFmtId="175" fontId="69" fillId="23" borderId="27" xfId="0" applyNumberFormat="1" applyFont="1" applyFill="1" applyBorder="1" applyAlignment="1">
      <alignment horizontal="left"/>
    </xf>
    <xf numFmtId="175" fontId="69" fillId="23" borderId="70" xfId="0" applyNumberFormat="1" applyFont="1" applyFill="1" applyBorder="1" applyAlignment="1">
      <alignment horizontal="left"/>
    </xf>
    <xf numFmtId="0" fontId="17" fillId="0" borderId="11" xfId="372" applyFont="1" applyBorder="1" applyAlignment="1">
      <alignment horizontal="center"/>
    </xf>
    <xf numFmtId="0" fontId="17" fillId="0" borderId="38" xfId="372" applyFont="1" applyBorder="1" applyAlignment="1">
      <alignment horizontal="center"/>
    </xf>
    <xf numFmtId="0" fontId="17" fillId="0" borderId="39" xfId="372" applyFont="1" applyBorder="1" applyAlignment="1">
      <alignment horizontal="center"/>
    </xf>
  </cellXfs>
  <cellStyles count="540">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Link" xfId="539" builtinId="8"/>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1576">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9"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patternType="solid">
          <bgColor theme="9" tint="-0.499984740745262"/>
        </patternFill>
      </fill>
    </dxf>
    <dxf>
      <font>
        <color theme="0"/>
      </font>
      <fill>
        <patternFill>
          <bgColor theme="4" tint="-0.24994659260841701"/>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1"/>
      </font>
      <fill>
        <patternFill>
          <bgColor theme="5" tint="0.79998168889431442"/>
        </patternFill>
      </fill>
    </dxf>
    <dxf>
      <font>
        <color theme="1"/>
      </font>
      <fill>
        <patternFill>
          <bgColor theme="9" tint="0.59996337778862885"/>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8" tint="0.59996337778862885"/>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bgColor rgb="FFFFFF00"/>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59996337778862885"/>
        </patternFill>
      </fill>
    </dxf>
    <dxf>
      <font>
        <color theme="0"/>
      </font>
      <fill>
        <patternFill patternType="solid">
          <bgColor theme="6" tint="-0.24994659260841701"/>
        </patternFill>
      </fill>
    </dxf>
    <dxf>
      <font>
        <color theme="0"/>
      </font>
      <fill>
        <patternFill>
          <bgColor theme="1"/>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9" tint="0.59996337778862885"/>
        </patternFill>
      </fill>
    </dxf>
    <dxf>
      <font>
        <color theme="0"/>
      </font>
      <fill>
        <patternFill patternType="solid">
          <bgColor theme="9" tint="-0.499984740745262"/>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0" tint="-0.14996795556505021"/>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patternType="solid">
          <bgColor theme="2" tint="-9.9948118533890809E-2"/>
        </patternFill>
      </fill>
    </dxf>
    <dxf>
      <font>
        <color theme="1"/>
      </font>
      <fill>
        <patternFill>
          <bgColor theme="6" tint="0.39994506668294322"/>
        </patternFill>
      </fill>
    </dxf>
    <dxf>
      <font>
        <color theme="1"/>
      </font>
      <fill>
        <patternFill>
          <bgColor theme="4" tint="0.59996337778862885"/>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patternType="solid">
          <bgColor theme="2" tint="-0.24994659260841701"/>
        </patternFill>
      </fill>
    </dxf>
    <dxf>
      <font>
        <color theme="0"/>
      </font>
      <fill>
        <patternFill patternType="solid">
          <bgColor theme="9" tint="-0.499984740745262"/>
        </patternFill>
      </fill>
    </dxf>
    <dxf>
      <font>
        <color theme="1"/>
      </font>
      <fill>
        <patternFill patternType="solid">
          <bgColor them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0"/>
      </font>
      <fill>
        <patternFill patternType="solid">
          <bgColor theme="9" tint="-0.24994659260841701"/>
        </patternFill>
      </fill>
    </dxf>
    <dxf>
      <font>
        <color theme="1"/>
      </font>
      <fill>
        <patternFill patternType="solid">
          <bgColor theme="2" tint="-9.9948118533890809E-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59996337778862885"/>
        </patternFill>
      </fill>
    </dxf>
    <dxf>
      <font>
        <color theme="0"/>
      </font>
      <fill>
        <patternFill patternType="solid">
          <bgColor theme="9" tint="-0.499984740745262"/>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patternType="solid">
          <bgColor theme="2"/>
        </patternFill>
      </fill>
    </dxf>
    <dxf>
      <font>
        <color theme="0"/>
      </font>
      <fill>
        <patternFill patternType="solid">
          <bgColor theme="9" tint="-0.24994659260841701"/>
        </patternFill>
      </fill>
    </dxf>
    <dxf>
      <font>
        <color theme="1"/>
      </font>
      <fill>
        <patternFill>
          <bgColor theme="9" tint="0.59996337778862885"/>
        </patternFill>
      </fill>
    </dxf>
    <dxf>
      <font>
        <color theme="0"/>
      </font>
      <fill>
        <patternFill>
          <bgColor theme="4" tint="0.39994506668294322"/>
        </patternFill>
      </fill>
    </dxf>
    <dxf>
      <font>
        <color theme="0"/>
      </font>
      <fill>
        <patternFill>
          <bgColor theme="1"/>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patternType="solid">
          <bgColor theme="6" tint="-0.24994659260841701"/>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0" tint="-0.14996795556505021"/>
        </patternFill>
      </fill>
    </dxf>
    <dxf>
      <font>
        <color theme="1"/>
      </font>
      <fill>
        <patternFill>
          <bgColor rgb="FFFF2F82"/>
        </patternFill>
      </fill>
    </dxf>
    <dxf>
      <font>
        <color theme="0"/>
      </font>
      <fill>
        <patternFill patternType="solid">
          <bgColor theme="2" tint="-0.89996032593768116"/>
        </patternFill>
      </fill>
    </dxf>
    <dxf>
      <font>
        <color theme="0"/>
      </font>
      <fill>
        <patternFill patternType="solid">
          <bgColor theme="2" tint="-0.749961851863155"/>
        </patternFill>
      </fill>
    </dxf>
    <dxf>
      <font>
        <strike val="0"/>
        <color theme="0"/>
      </font>
      <fill>
        <patternFill patternType="solid">
          <bgColor theme="2" tint="-0.49998474074526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0"/>
      </font>
      <fill>
        <patternFill>
          <bgColor theme="1"/>
        </patternFill>
      </fill>
    </dxf>
    <dxf>
      <font>
        <color theme="1"/>
      </font>
      <fill>
        <patternFill>
          <bgColor rgb="FFFFFF00"/>
        </patternFill>
      </fill>
    </dxf>
    <dxf>
      <font>
        <color theme="0"/>
      </font>
      <fill>
        <patternFill>
          <bgColor theme="4" tint="-0.24994659260841701"/>
        </patternFill>
      </fill>
    </dxf>
    <dxf>
      <font>
        <color theme="1"/>
      </font>
      <fill>
        <patternFill patternType="solid">
          <bgColor theme="2" tint="-0.24994659260841701"/>
        </patternFill>
      </fill>
    </dxf>
    <dxf>
      <font>
        <color theme="1"/>
      </font>
      <fill>
        <patternFill patternType="solid">
          <bgColor theme="2"/>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patternType="solid">
          <bgColor theme="2" tint="-9.9948118533890809E-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4" tint="-0.24994659260841701"/>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rgb="FFFF2F82"/>
        </patternFill>
      </fill>
    </dxf>
    <dxf>
      <font>
        <color theme="1"/>
      </font>
      <fill>
        <patternFill>
          <bgColor theme="7" tint="0.39994506668294322"/>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1"/>
      </font>
      <fill>
        <patternFill>
          <bgColor theme="9" tint="0.59996337778862885"/>
        </patternFill>
      </fill>
    </dxf>
    <dxf>
      <font>
        <strike val="0"/>
        <color theme="0"/>
      </font>
      <fill>
        <patternFill patternType="solid">
          <bgColor theme="2" tint="-0.49998474074526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9.9948118533890809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bgColor theme="7" tint="0.39994506668294322"/>
        </patternFill>
      </fill>
    </dxf>
    <dxf>
      <font>
        <color theme="1"/>
      </font>
      <fill>
        <patternFill patternType="solid">
          <bgColor theme="2" tint="-0.24994659260841701"/>
        </patternFill>
      </fill>
    </dxf>
    <dxf>
      <font>
        <color theme="0"/>
      </font>
      <fill>
        <patternFill patternType="solid">
          <bgColor theme="2" tint="-0.749961851863155"/>
        </patternFill>
      </fill>
    </dxf>
    <dxf>
      <font>
        <color theme="1"/>
      </font>
      <fill>
        <patternFill patternType="solid">
          <bgColor theme="4" tint="0.79998168889431442"/>
        </patternFill>
      </fill>
    </dxf>
    <dxf>
      <font>
        <color theme="0"/>
      </font>
      <fill>
        <patternFill patternType="solid">
          <bgColor theme="9" tint="-0.499984740745262"/>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0"/>
      </font>
      <fill>
        <patternFill patternType="solid">
          <bgColor theme="9" tint="-0.24994659260841701"/>
        </patternFill>
      </fill>
    </dxf>
    <dxf>
      <font>
        <color theme="1"/>
      </font>
      <fill>
        <patternFill patternType="solid">
          <bgColor theme="2"/>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0"/>
      </font>
      <fill>
        <patternFill>
          <bgColor theme="4" tint="0.39994506668294322"/>
        </patternFill>
      </fill>
    </dxf>
    <dxf>
      <font>
        <color theme="1"/>
      </font>
      <fill>
        <patternFill>
          <bgColor theme="0" tint="-0.14996795556505021"/>
        </patternFill>
      </fill>
    </dxf>
    <dxf>
      <font>
        <color theme="0"/>
      </font>
      <fill>
        <patternFill>
          <bgColor theme="4" tint="-0.24994659260841701"/>
        </patternFill>
      </fill>
    </dxf>
    <dxf>
      <font>
        <color theme="0"/>
      </font>
      <fill>
        <patternFill>
          <bgColor theme="1"/>
        </patternFill>
      </fill>
    </dxf>
    <dxf>
      <font>
        <color theme="1"/>
      </font>
      <fill>
        <patternFill>
          <bgColor theme="4"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6" tint="0.3999450666829432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1"/>
      </font>
      <fill>
        <patternFill>
          <bgColor theme="0" tint="-0.14996795556505021"/>
        </patternFill>
      </fill>
    </dxf>
    <dxf>
      <font>
        <color theme="1"/>
      </font>
      <fill>
        <patternFill patternType="solid">
          <bgColor theme="4" tint="0.79998168889431442"/>
        </patternFill>
      </fill>
    </dxf>
    <dxf>
      <font>
        <color theme="0"/>
      </font>
      <fill>
        <patternFill patternType="solid">
          <bgColor theme="2" tint="-0.74996185186315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79998168889431442"/>
        </patternFill>
      </fill>
    </dxf>
    <dxf>
      <font>
        <color theme="1"/>
      </font>
      <fill>
        <patternFill>
          <bgColor theme="4" tint="0.59996337778862885"/>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4" tint="0.79998168889431442"/>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4" tint="0.59996337778862885"/>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9"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1"/>
      </font>
      <fill>
        <patternFill>
          <bgColor theme="5" tint="0.79998168889431442"/>
        </patternFill>
      </fill>
    </dxf>
    <dxf>
      <font>
        <color theme="1"/>
      </font>
      <fill>
        <patternFill patternType="solid">
          <bgColor theme="2"/>
        </patternFill>
      </fill>
    </dxf>
    <dxf>
      <font>
        <color theme="0"/>
      </font>
      <fill>
        <patternFill>
          <bgColor theme="1"/>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0" tint="-0.14996795556505021"/>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2" tint="-0.749961851863155"/>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theme="0" tint="-0.14996795556505021"/>
        </patternFill>
      </fill>
    </dxf>
    <dxf>
      <font>
        <color theme="1"/>
      </font>
      <fill>
        <patternFill patternType="solid">
          <bgColor theme="4" tint="0.79998168889431442"/>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499984740745262"/>
        </patternFill>
      </fill>
    </dxf>
    <dxf>
      <font>
        <color theme="1"/>
      </font>
      <fill>
        <patternFill>
          <bgColor theme="6" tint="0.39994506668294322"/>
        </patternFill>
      </fill>
    </dxf>
    <dxf>
      <font>
        <color theme="1"/>
      </font>
      <fill>
        <patternFill>
          <bgColor theme="9" tint="0.59996337778862885"/>
        </patternFill>
      </fill>
    </dxf>
    <dxf>
      <font>
        <color theme="0"/>
      </font>
      <fill>
        <patternFill patternType="solid">
          <bgColor theme="9" tint="-0.24994659260841701"/>
        </patternFill>
      </fill>
    </dxf>
    <dxf>
      <font>
        <color theme="1"/>
      </font>
      <fill>
        <patternFill>
          <bgColor theme="5" tint="0.59996337778862885"/>
        </patternFill>
      </fill>
    </dxf>
    <dxf>
      <font>
        <color theme="0"/>
      </font>
      <fill>
        <patternFill patternType="solid">
          <bgColor theme="9" tint="-0.24994659260841701"/>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1"/>
      </font>
      <fill>
        <patternFill>
          <bgColor theme="5" tint="0.79998168889431442"/>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patternType="solid">
          <bgColor theme="9" tint="-0.499984740745262"/>
        </patternFill>
      </fill>
    </dxf>
    <dxf>
      <font>
        <color theme="1"/>
      </font>
      <fill>
        <patternFill>
          <bgColor rgb="FFFFFF00"/>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9" tint="-0.499984740745262"/>
        </patternFill>
      </fill>
    </dxf>
    <dxf>
      <font>
        <color theme="1"/>
      </font>
      <fill>
        <patternFill>
          <bgColor theme="8" tint="0.59996337778862885"/>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9" tint="-0.49998474074526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patternType="solid">
          <bgColor theme="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patternType="solid">
          <bgColor theme="2" tint="-0.499984740745262"/>
        </patternFill>
      </fill>
    </dxf>
    <dxf>
      <font>
        <color theme="0"/>
      </font>
      <fill>
        <patternFill patternType="solid">
          <bgColor theme="2" tint="-0.89996032593768116"/>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0"/>
      </font>
      <fill>
        <patternFill patternType="solid">
          <bgColor theme="2" tint="-0.749961851863155"/>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9" tint="-0.24994659260841701"/>
        </patternFill>
      </fill>
    </dxf>
    <dxf>
      <font>
        <color theme="1"/>
      </font>
      <fill>
        <patternFill>
          <bgColor theme="8" tint="0.59996337778862885"/>
        </patternFill>
      </fill>
    </dxf>
    <dxf>
      <font>
        <color theme="0"/>
      </font>
      <fill>
        <patternFill patternType="solid">
          <bgColor theme="9" tint="-0.49998474074526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24994659260841701"/>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9" tint="-0.49998474074526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patternType="solid">
          <bgColor theme="2"/>
        </patternFill>
      </fill>
    </dxf>
    <dxf>
      <font>
        <color theme="0"/>
      </font>
      <fill>
        <patternFill patternType="solid">
          <bgColor theme="2" tint="-0.89996032593768116"/>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0"/>
      </font>
      <fill>
        <patternFill patternType="solid">
          <bgColor theme="4" tint="0.39994506668294322"/>
        </patternFill>
      </fill>
    </dxf>
    <dxf>
      <font>
        <color theme="1"/>
      </font>
      <fill>
        <patternFill patternType="solid">
          <bgColor theme="2" tint="-0.24994659260841701"/>
        </patternFill>
      </fill>
    </dxf>
    <dxf>
      <font>
        <color theme="1"/>
      </font>
      <fill>
        <patternFill patternType="solid">
          <bgColor theme="4" tint="0.7999816888943144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0" tint="-0.1499679555650502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patternType="solid">
          <bgColor theme="4"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0"/>
      </font>
      <fill>
        <patternFill>
          <bgColor theme="6" tint="-0.24994659260841701"/>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1"/>
      </font>
      <fill>
        <patternFill>
          <bgColor theme="4" tint="0.59996337778862885"/>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rgb="FFFFFF00"/>
        </patternFill>
      </fill>
    </dxf>
  </dxfs>
  <tableStyles count="0" defaultTableStyle="TableStyleMedium9" defaultPivotStyle="PivotStyleMedium4"/>
  <colors>
    <mruColors>
      <color rgb="FFFF2F82"/>
      <color rgb="FFF6F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121248</xdr:colOff>
      <xdr:row>15</xdr:row>
      <xdr:rowOff>3606</xdr:rowOff>
    </xdr:from>
    <xdr:to>
      <xdr:col>0</xdr:col>
      <xdr:colOff>707402</xdr:colOff>
      <xdr:row>16</xdr:row>
      <xdr:rowOff>97274</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248" y="3229406"/>
          <a:ext cx="586154" cy="373068"/>
        </a:xfrm>
        <a:prstGeom prst="rect">
          <a:avLst/>
        </a:prstGeom>
      </xdr:spPr>
    </xdr:pic>
    <xdr:clientData/>
  </xdr:twoCellAnchor>
  <xdr:twoCellAnchor editAs="oneCell">
    <xdr:from>
      <xdr:col>0</xdr:col>
      <xdr:colOff>108548</xdr:colOff>
      <xdr:row>14</xdr:row>
      <xdr:rowOff>32563</xdr:rowOff>
    </xdr:from>
    <xdr:to>
      <xdr:col>0</xdr:col>
      <xdr:colOff>694702</xdr:colOff>
      <xdr:row>15</xdr:row>
      <xdr:rowOff>6396</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12700</xdr:colOff>
      <xdr:row>24</xdr:row>
      <xdr:rowOff>600373</xdr:rowOff>
    </xdr:from>
    <xdr:to>
      <xdr:col>1</xdr:col>
      <xdr:colOff>499</xdr:colOff>
      <xdr:row>25</xdr:row>
      <xdr:rowOff>91938</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700" y="8474373"/>
          <a:ext cx="769337" cy="685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685528</xdr:colOff>
      <xdr:row>134</xdr:row>
      <xdr:rowOff>101600</xdr:rowOff>
    </xdr:to>
    <xdr:pic>
      <xdr:nvPicPr>
        <xdr:cNvPr id="5" name="Billede 4">
          <a:extLst>
            <a:ext uri="{FF2B5EF4-FFF2-40B4-BE49-F238E27FC236}">
              <a16:creationId xmlns:a16="http://schemas.microsoft.com/office/drawing/2014/main" id="{61B0B9AF-B645-4FBB-031B-5739FBB42BFD}"/>
            </a:ext>
          </a:extLst>
        </xdr:cNvPr>
        <xdr:cNvPicPr>
          <a:picLocks noChangeAspect="1"/>
        </xdr:cNvPicPr>
      </xdr:nvPicPr>
      <xdr:blipFill>
        <a:blip xmlns:r="http://schemas.openxmlformats.org/officeDocument/2006/relationships" r:embed="rId1"/>
        <a:stretch>
          <a:fillRect/>
        </a:stretch>
      </xdr:blipFill>
      <xdr:spPr>
        <a:xfrm>
          <a:off x="0" y="0"/>
          <a:ext cx="19672028" cy="2783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23</xdr:row>
      <xdr:rowOff>38100</xdr:rowOff>
    </xdr:from>
    <xdr:to>
      <xdr:col>1</xdr:col>
      <xdr:colOff>533401</xdr:colOff>
      <xdr:row>24</xdr:row>
      <xdr:rowOff>38886</xdr:rowOff>
    </xdr:to>
    <xdr:pic>
      <xdr:nvPicPr>
        <xdr:cNvPr id="3" name="Billed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2</xdr:row>
      <xdr:rowOff>609600</xdr:rowOff>
    </xdr:from>
    <xdr:to>
      <xdr:col>1</xdr:col>
      <xdr:colOff>482600</xdr:colOff>
      <xdr:row>2</xdr:row>
      <xdr:rowOff>817374</xdr:rowOff>
    </xdr:to>
    <xdr:pic>
      <xdr:nvPicPr>
        <xdr:cNvPr id="4" name="Billed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0</xdr:col>
      <xdr:colOff>1139657</xdr:colOff>
      <xdr:row>0</xdr:row>
      <xdr:rowOff>1168400</xdr:rowOff>
    </xdr:to>
    <xdr:pic>
      <xdr:nvPicPr>
        <xdr:cNvPr id="4" name="Billed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41300" y="609600"/>
          <a:ext cx="898357" cy="558800"/>
        </a:xfrm>
        <a:prstGeom prst="rect">
          <a:avLst/>
        </a:prstGeom>
      </xdr:spPr>
    </xdr:pic>
    <xdr:clientData/>
  </xdr:twoCellAnchor>
  <xdr:twoCellAnchor editAs="oneCell">
    <xdr:from>
      <xdr:col>0</xdr:col>
      <xdr:colOff>279400</xdr:colOff>
      <xdr:row>98</xdr:row>
      <xdr:rowOff>177800</xdr:rowOff>
    </xdr:from>
    <xdr:to>
      <xdr:col>1</xdr:col>
      <xdr:colOff>177800</xdr:colOff>
      <xdr:row>102</xdr:row>
      <xdr:rowOff>68074</xdr:rowOff>
    </xdr:to>
    <xdr:pic>
      <xdr:nvPicPr>
        <xdr:cNvPr id="5" name="Billed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0</xdr:col>
      <xdr:colOff>279399</xdr:colOff>
      <xdr:row>1</xdr:row>
      <xdr:rowOff>12700</xdr:rowOff>
    </xdr:from>
    <xdr:to>
      <xdr:col>0</xdr:col>
      <xdr:colOff>1155700</xdr:colOff>
      <xdr:row>1</xdr:row>
      <xdr:rowOff>557780</xdr:rowOff>
    </xdr:to>
    <xdr:pic>
      <xdr:nvPicPr>
        <xdr:cNvPr id="3" name="Billed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79399" y="1981200"/>
          <a:ext cx="876301" cy="545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165100</xdr:colOff>
      <xdr:row>0</xdr:row>
      <xdr:rowOff>736600</xdr:rowOff>
    </xdr:from>
    <xdr:to>
      <xdr:col>0</xdr:col>
      <xdr:colOff>736782</xdr:colOff>
      <xdr:row>0</xdr:row>
      <xdr:rowOff>1092200</xdr:rowOff>
    </xdr:to>
    <xdr:pic>
      <xdr:nvPicPr>
        <xdr:cNvPr id="2" name="Billed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5100" y="736600"/>
          <a:ext cx="571682" cy="355600"/>
        </a:xfrm>
        <a:prstGeom prst="rect">
          <a:avLst/>
        </a:prstGeom>
      </xdr:spPr>
    </xdr:pic>
    <xdr:clientData/>
  </xdr:twoCellAnchor>
  <xdr:twoCellAnchor editAs="oneCell">
    <xdr:from>
      <xdr:col>0</xdr:col>
      <xdr:colOff>0</xdr:colOff>
      <xdr:row>53</xdr:row>
      <xdr:rowOff>139700</xdr:rowOff>
    </xdr:from>
    <xdr:to>
      <xdr:col>0</xdr:col>
      <xdr:colOff>1130300</xdr:colOff>
      <xdr:row>56</xdr:row>
      <xdr:rowOff>233174</xdr:rowOff>
    </xdr:to>
    <xdr:pic>
      <xdr:nvPicPr>
        <xdr:cNvPr id="3" name="Bille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54000" y="14173200"/>
          <a:ext cx="1130300" cy="703074"/>
        </a:xfrm>
        <a:prstGeom prst="rect">
          <a:avLst/>
        </a:prstGeom>
      </xdr:spPr>
    </xdr:pic>
    <xdr:clientData/>
  </xdr:twoCellAnchor>
  <xdr:twoCellAnchor editAs="oneCell">
    <xdr:from>
      <xdr:col>0</xdr:col>
      <xdr:colOff>127000</xdr:colOff>
      <xdr:row>1</xdr:row>
      <xdr:rowOff>83003</xdr:rowOff>
    </xdr:from>
    <xdr:to>
      <xdr:col>0</xdr:col>
      <xdr:colOff>735932</xdr:colOff>
      <xdr:row>1</xdr:row>
      <xdr:rowOff>461774</xdr:rowOff>
    </xdr:to>
    <xdr:pic>
      <xdr:nvPicPr>
        <xdr:cNvPr id="4" name="Billed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27000" y="1975303"/>
          <a:ext cx="608932" cy="3787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194734</xdr:colOff>
      <xdr:row>3</xdr:row>
      <xdr:rowOff>461435</xdr:rowOff>
    </xdr:from>
    <xdr:to>
      <xdr:col>2</xdr:col>
      <xdr:colOff>833497</xdr:colOff>
      <xdr:row>4</xdr:row>
      <xdr:rowOff>306788</xdr:rowOff>
    </xdr:to>
    <xdr:pic>
      <xdr:nvPicPr>
        <xdr:cNvPr id="2" name="Billed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94734" y="2188635"/>
          <a:ext cx="1388063" cy="8607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207434</xdr:colOff>
      <xdr:row>1</xdr:row>
      <xdr:rowOff>245535</xdr:rowOff>
    </xdr:from>
    <xdr:to>
      <xdr:col>2</xdr:col>
      <xdr:colOff>846197</xdr:colOff>
      <xdr:row>2</xdr:row>
      <xdr:rowOff>636411</xdr:rowOff>
    </xdr:to>
    <xdr:pic>
      <xdr:nvPicPr>
        <xdr:cNvPr id="2" name="Billed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07434" y="448735"/>
          <a:ext cx="1388063" cy="8607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16934</xdr:colOff>
      <xdr:row>1</xdr:row>
      <xdr:rowOff>169335</xdr:rowOff>
    </xdr:from>
    <xdr:to>
      <xdr:col>2</xdr:col>
      <xdr:colOff>985897</xdr:colOff>
      <xdr:row>2</xdr:row>
      <xdr:rowOff>649111</xdr:rowOff>
    </xdr:to>
    <xdr:pic>
      <xdr:nvPicPr>
        <xdr:cNvPr id="2" name="Billed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47134" y="372535"/>
          <a:ext cx="1388063" cy="860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42334</xdr:colOff>
      <xdr:row>1</xdr:row>
      <xdr:rowOff>220135</xdr:rowOff>
    </xdr:from>
    <xdr:to>
      <xdr:col>2</xdr:col>
      <xdr:colOff>1011297</xdr:colOff>
      <xdr:row>2</xdr:row>
      <xdr:rowOff>699911</xdr:rowOff>
    </xdr:to>
    <xdr:pic>
      <xdr:nvPicPr>
        <xdr:cNvPr id="2" name="Billed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72534" y="423335"/>
          <a:ext cx="1388063" cy="8607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143934</xdr:colOff>
      <xdr:row>1</xdr:row>
      <xdr:rowOff>169335</xdr:rowOff>
    </xdr:from>
    <xdr:to>
      <xdr:col>3</xdr:col>
      <xdr:colOff>71497</xdr:colOff>
      <xdr:row>2</xdr:row>
      <xdr:rowOff>699911</xdr:rowOff>
    </xdr:to>
    <xdr:pic>
      <xdr:nvPicPr>
        <xdr:cNvPr id="2" name="Billed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74134" y="372535"/>
          <a:ext cx="1388063" cy="8607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16934</xdr:colOff>
      <xdr:row>1</xdr:row>
      <xdr:rowOff>207435</xdr:rowOff>
    </xdr:from>
    <xdr:to>
      <xdr:col>2</xdr:col>
      <xdr:colOff>985897</xdr:colOff>
      <xdr:row>2</xdr:row>
      <xdr:rowOff>725311</xdr:rowOff>
    </xdr:to>
    <xdr:pic>
      <xdr:nvPicPr>
        <xdr:cNvPr id="2" name="Billed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7134" y="410635"/>
          <a:ext cx="1388063" cy="8607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55034</xdr:colOff>
      <xdr:row>1</xdr:row>
      <xdr:rowOff>270935</xdr:rowOff>
    </xdr:from>
    <xdr:to>
      <xdr:col>2</xdr:col>
      <xdr:colOff>1023997</xdr:colOff>
      <xdr:row>2</xdr:row>
      <xdr:rowOff>623711</xdr:rowOff>
    </xdr:to>
    <xdr:pic>
      <xdr:nvPicPr>
        <xdr:cNvPr id="2" name="Billed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5234" y="474135"/>
          <a:ext cx="1388063" cy="8607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16934</xdr:colOff>
      <xdr:row>1</xdr:row>
      <xdr:rowOff>194735</xdr:rowOff>
    </xdr:from>
    <xdr:to>
      <xdr:col>2</xdr:col>
      <xdr:colOff>985897</xdr:colOff>
      <xdr:row>2</xdr:row>
      <xdr:rowOff>649111</xdr:rowOff>
    </xdr:to>
    <xdr:pic>
      <xdr:nvPicPr>
        <xdr:cNvPr id="2" name="Billed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47134" y="397935"/>
          <a:ext cx="1388063" cy="8607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309034</xdr:colOff>
      <xdr:row>1</xdr:row>
      <xdr:rowOff>245535</xdr:rowOff>
    </xdr:from>
    <xdr:to>
      <xdr:col>2</xdr:col>
      <xdr:colOff>947797</xdr:colOff>
      <xdr:row>2</xdr:row>
      <xdr:rowOff>649111</xdr:rowOff>
    </xdr:to>
    <xdr:pic>
      <xdr:nvPicPr>
        <xdr:cNvPr id="2" name="Billed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09034" y="448735"/>
          <a:ext cx="1388063" cy="8607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232834</xdr:colOff>
      <xdr:row>1</xdr:row>
      <xdr:rowOff>321735</xdr:rowOff>
    </xdr:from>
    <xdr:to>
      <xdr:col>2</xdr:col>
      <xdr:colOff>871597</xdr:colOff>
      <xdr:row>1</xdr:row>
      <xdr:rowOff>1182511</xdr:rowOff>
    </xdr:to>
    <xdr:pic>
      <xdr:nvPicPr>
        <xdr:cNvPr id="2" name="Billed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232834" y="524935"/>
          <a:ext cx="1388063" cy="8607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80434</xdr:colOff>
      <xdr:row>1</xdr:row>
      <xdr:rowOff>410635</xdr:rowOff>
    </xdr:from>
    <xdr:to>
      <xdr:col>3</xdr:col>
      <xdr:colOff>7997</xdr:colOff>
      <xdr:row>2</xdr:row>
      <xdr:rowOff>547511</xdr:rowOff>
    </xdr:to>
    <xdr:pic>
      <xdr:nvPicPr>
        <xdr:cNvPr id="2" name="Billed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10634" y="613835"/>
          <a:ext cx="1388063" cy="8607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80434</xdr:colOff>
      <xdr:row>1</xdr:row>
      <xdr:rowOff>270935</xdr:rowOff>
    </xdr:from>
    <xdr:to>
      <xdr:col>3</xdr:col>
      <xdr:colOff>7997</xdr:colOff>
      <xdr:row>2</xdr:row>
      <xdr:rowOff>572911</xdr:rowOff>
    </xdr:to>
    <xdr:pic>
      <xdr:nvPicPr>
        <xdr:cNvPr id="2" name="Billed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10634" y="474135"/>
          <a:ext cx="1388063" cy="8607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113146</xdr:colOff>
      <xdr:row>1</xdr:row>
      <xdr:rowOff>355896</xdr:rowOff>
    </xdr:from>
    <xdr:to>
      <xdr:col>1</xdr:col>
      <xdr:colOff>596901</xdr:colOff>
      <xdr:row>2</xdr:row>
      <xdr:rowOff>240594</xdr:rowOff>
    </xdr:to>
    <xdr:pic>
      <xdr:nvPicPr>
        <xdr:cNvPr id="2" name="Billed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3146" y="828768"/>
          <a:ext cx="1132266" cy="7088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1" dT="2021-04-07T13:51:15.67" personId="{977470C1-5292-2E41-B06C-4A3108FC6288}" id="{2BE12B20-6EE1-DB41-B134-44AC5D77B008}">
    <text>Beskæftigelsesgraden aftalt i ansættelsesbrevet.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78"/>
  <sheetViews>
    <sheetView zoomScale="88" zoomScaleNormal="100" workbookViewId="0">
      <selection activeCell="B11" sqref="B11"/>
    </sheetView>
  </sheetViews>
  <sheetFormatPr baseColWidth="10" defaultRowHeight="16"/>
  <cols>
    <col min="1" max="1" width="10.83203125" style="55"/>
    <col min="2" max="2" width="157.33203125" style="55" customWidth="1"/>
    <col min="3" max="3" width="10.83203125" style="55" customWidth="1"/>
    <col min="4" max="16384" width="10.83203125" style="55"/>
  </cols>
  <sheetData>
    <row r="1" spans="2:2">
      <c r="B1" s="66">
        <v>2021</v>
      </c>
    </row>
    <row r="2" spans="2:2">
      <c r="B2" s="67" t="s">
        <v>477</v>
      </c>
    </row>
    <row r="3" spans="2:2" ht="30" customHeight="1">
      <c r="B3" s="236" t="s">
        <v>183</v>
      </c>
    </row>
    <row r="4" spans="2:2" ht="29" customHeight="1">
      <c r="B4" s="236" t="s">
        <v>303</v>
      </c>
    </row>
    <row r="5" spans="2:2" ht="18" customHeight="1">
      <c r="B5" s="237" t="str">
        <f>"Gældende for skoleåret "&amp;B2&amp;""</f>
        <v>Gældende for skoleåret 2025-2026</v>
      </c>
    </row>
    <row r="6" spans="2:2">
      <c r="B6" s="57"/>
    </row>
    <row r="7" spans="2:2">
      <c r="B7" s="233" t="s">
        <v>159</v>
      </c>
    </row>
    <row r="8" spans="2:2" ht="16" customHeight="1">
      <c r="B8" s="699" t="s">
        <v>304</v>
      </c>
    </row>
    <row r="9" spans="2:2">
      <c r="B9" s="207"/>
    </row>
    <row r="10" spans="2:2" ht="17">
      <c r="B10" s="698" t="s">
        <v>487</v>
      </c>
    </row>
    <row r="11" spans="2:2" ht="102">
      <c r="B11" s="207" t="s">
        <v>486</v>
      </c>
    </row>
    <row r="12" spans="2:2">
      <c r="B12" s="64"/>
    </row>
    <row r="13" spans="2:2">
      <c r="B13" s="233" t="s">
        <v>160</v>
      </c>
    </row>
    <row r="14" spans="2:2">
      <c r="B14" s="233" t="s">
        <v>305</v>
      </c>
    </row>
    <row r="15" spans="2:2" ht="33" customHeight="1">
      <c r="B15" s="207" t="s">
        <v>306</v>
      </c>
    </row>
    <row r="16" spans="2:2" ht="22" customHeight="1">
      <c r="B16" s="229" t="s">
        <v>307</v>
      </c>
    </row>
    <row r="17" spans="1:7" ht="46" customHeight="1">
      <c r="B17" s="211" t="s">
        <v>308</v>
      </c>
    </row>
    <row r="18" spans="1:7" ht="72" customHeight="1">
      <c r="B18" s="211" t="s">
        <v>410</v>
      </c>
      <c r="C18" s="211"/>
      <c r="D18" s="211"/>
      <c r="E18" s="211"/>
      <c r="F18" s="211"/>
      <c r="G18" s="211"/>
    </row>
    <row r="19" spans="1:7" ht="41" customHeight="1">
      <c r="B19" s="207" t="s">
        <v>309</v>
      </c>
    </row>
    <row r="20" spans="1:7" ht="20" customHeight="1">
      <c r="B20" s="229" t="s">
        <v>310</v>
      </c>
    </row>
    <row r="21" spans="1:7" ht="19" customHeight="1">
      <c r="B21" s="229" t="s">
        <v>311</v>
      </c>
    </row>
    <row r="22" spans="1:7" ht="19" customHeight="1">
      <c r="B22" s="230" t="s">
        <v>312</v>
      </c>
    </row>
    <row r="23" spans="1:7" ht="110" customHeight="1">
      <c r="B23" s="207" t="s">
        <v>366</v>
      </c>
    </row>
    <row r="24" spans="1:7" ht="51">
      <c r="B24" s="207" t="s">
        <v>364</v>
      </c>
    </row>
    <row r="25" spans="1:7" ht="94" customHeight="1">
      <c r="B25" s="430" t="s">
        <v>411</v>
      </c>
    </row>
    <row r="26" spans="1:7" ht="34" customHeight="1">
      <c r="B26" s="431" t="s">
        <v>412</v>
      </c>
    </row>
    <row r="27" spans="1:7" ht="3" customHeight="1">
      <c r="A27" s="710"/>
      <c r="B27" s="431"/>
    </row>
    <row r="28" spans="1:7" ht="21" customHeight="1">
      <c r="A28" s="710"/>
      <c r="B28" s="709" t="s">
        <v>429</v>
      </c>
    </row>
    <row r="29" spans="1:7" ht="21" customHeight="1">
      <c r="B29" s="709"/>
    </row>
    <row r="30" spans="1:7" ht="54" customHeight="1">
      <c r="B30" s="709"/>
    </row>
    <row r="31" spans="1:7" ht="17" customHeight="1">
      <c r="B31" s="232"/>
    </row>
    <row r="32" spans="1:7" ht="17">
      <c r="B32" s="234" t="s">
        <v>155</v>
      </c>
    </row>
    <row r="33" spans="2:2" ht="68">
      <c r="B33" s="231" t="s">
        <v>313</v>
      </c>
    </row>
    <row r="34" spans="2:2">
      <c r="B34" s="231"/>
    </row>
    <row r="35" spans="2:2" ht="17">
      <c r="B35" s="234" t="s">
        <v>156</v>
      </c>
    </row>
    <row r="36" spans="2:2" ht="85">
      <c r="B36" s="231" t="s">
        <v>413</v>
      </c>
    </row>
    <row r="37" spans="2:2">
      <c r="B37" s="231"/>
    </row>
    <row r="38" spans="2:2" ht="34">
      <c r="B38" s="231" t="s">
        <v>395</v>
      </c>
    </row>
    <row r="39" spans="2:2">
      <c r="B39" s="231"/>
    </row>
    <row r="40" spans="2:2" ht="17">
      <c r="B40" s="234" t="s">
        <v>158</v>
      </c>
    </row>
    <row r="41" spans="2:2">
      <c r="B41" s="65" t="s">
        <v>81</v>
      </c>
    </row>
    <row r="42" spans="2:2">
      <c r="B42" s="106" t="s">
        <v>329</v>
      </c>
    </row>
    <row r="43" spans="2:2" ht="34" customHeight="1">
      <c r="B43" s="108" t="s">
        <v>330</v>
      </c>
    </row>
    <row r="44" spans="2:2" ht="22" customHeight="1">
      <c r="B44" s="107" t="s">
        <v>331</v>
      </c>
    </row>
    <row r="45" spans="2:2" ht="49" customHeight="1">
      <c r="B45" s="235" t="s">
        <v>157</v>
      </c>
    </row>
    <row r="46" spans="2:2" ht="21" customHeight="1">
      <c r="B46" s="572" t="s">
        <v>333</v>
      </c>
    </row>
    <row r="47" spans="2:2" ht="22" customHeight="1">
      <c r="B47" s="365" t="s">
        <v>332</v>
      </c>
    </row>
    <row r="48" spans="2:2" ht="16" hidden="1" customHeight="1">
      <c r="B48" s="96"/>
    </row>
    <row r="49" spans="2:2" ht="62" customHeight="1">
      <c r="B49" s="573" t="s">
        <v>335</v>
      </c>
    </row>
    <row r="50" spans="2:2" ht="17">
      <c r="B50" s="574" t="s">
        <v>336</v>
      </c>
    </row>
    <row r="51" spans="2:2" ht="17">
      <c r="B51" s="575" t="s">
        <v>338</v>
      </c>
    </row>
    <row r="52" spans="2:2" ht="17">
      <c r="B52" s="576" t="s">
        <v>337</v>
      </c>
    </row>
    <row r="53" spans="2:2" ht="17">
      <c r="B53" s="665" t="s">
        <v>414</v>
      </c>
    </row>
    <row r="54" spans="2:2" ht="17">
      <c r="B54" s="666" t="s">
        <v>415</v>
      </c>
    </row>
    <row r="55" spans="2:2" ht="51">
      <c r="B55" s="98" t="s">
        <v>367</v>
      </c>
    </row>
    <row r="56" spans="2:2" ht="34">
      <c r="B56" s="99" t="s">
        <v>334</v>
      </c>
    </row>
    <row r="57" spans="2:2" ht="56" customHeight="1">
      <c r="B57" s="577" t="s">
        <v>339</v>
      </c>
    </row>
    <row r="58" spans="2:2" ht="17">
      <c r="B58" s="578" t="s">
        <v>340</v>
      </c>
    </row>
    <row r="59" spans="2:2" ht="17">
      <c r="B59" s="579" t="s">
        <v>341</v>
      </c>
    </row>
    <row r="60" spans="2:2" ht="17">
      <c r="B60" s="580" t="s">
        <v>342</v>
      </c>
    </row>
    <row r="61" spans="2:2" ht="17">
      <c r="B61" s="581" t="s">
        <v>343</v>
      </c>
    </row>
    <row r="62" spans="2:2" ht="17">
      <c r="B62" s="582" t="s">
        <v>344</v>
      </c>
    </row>
    <row r="63" spans="2:2" ht="34">
      <c r="B63" s="100" t="s">
        <v>346</v>
      </c>
    </row>
    <row r="64" spans="2:2" ht="24" customHeight="1">
      <c r="B64" s="101" t="s">
        <v>345</v>
      </c>
    </row>
    <row r="65" spans="2:2" ht="24" customHeight="1">
      <c r="B65" s="584" t="s">
        <v>349</v>
      </c>
    </row>
    <row r="66" spans="2:2" ht="32" customHeight="1">
      <c r="B66" s="583" t="s">
        <v>347</v>
      </c>
    </row>
    <row r="67" spans="2:2" ht="35" customHeight="1">
      <c r="B67" s="275" t="s">
        <v>348</v>
      </c>
    </row>
    <row r="68" spans="2:2" ht="70" customHeight="1">
      <c r="B68" s="102" t="s">
        <v>350</v>
      </c>
    </row>
    <row r="69" spans="2:2" s="94" customFormat="1" ht="17">
      <c r="B69" s="97" t="s">
        <v>72</v>
      </c>
    </row>
    <row r="70" spans="2:2" ht="16" customHeight="1">
      <c r="B70" s="708" t="s">
        <v>480</v>
      </c>
    </row>
    <row r="71" spans="2:2" ht="16" customHeight="1">
      <c r="B71" s="708"/>
    </row>
    <row r="72" spans="2:2">
      <c r="B72" s="708"/>
    </row>
    <row r="73" spans="2:2" ht="49" customHeight="1">
      <c r="B73" s="708"/>
    </row>
    <row r="74" spans="2:2" ht="66" customHeight="1">
      <c r="B74" s="276" t="s">
        <v>416</v>
      </c>
    </row>
    <row r="75" spans="2:2" ht="65" customHeight="1">
      <c r="B75" s="276"/>
    </row>
    <row r="76" spans="2:2" ht="19" customHeight="1">
      <c r="B76" s="277" t="s">
        <v>186</v>
      </c>
    </row>
    <row r="77" spans="2:2" ht="34" customHeight="1">
      <c r="B77" s="276" t="s">
        <v>179</v>
      </c>
    </row>
    <row r="78" spans="2:2" ht="20" customHeight="1">
      <c r="B78" s="55" t="s">
        <v>180</v>
      </c>
    </row>
  </sheetData>
  <sheetProtection sheet="1" objects="1" scenarios="1"/>
  <mergeCells count="3">
    <mergeCell ref="B70:B73"/>
    <mergeCell ref="B28:B30"/>
    <mergeCell ref="A27:A28"/>
  </mergeCells>
  <phoneticPr fontId="4" type="noConversion"/>
  <pageMargins left="0.25" right="0.25" top="0.75" bottom="0.75" header="0.3" footer="0.3"/>
  <pageSetup paperSize="9" scale="36"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5217-4E00-4944-8AC4-7E543E892C5D}">
  <sheetPr>
    <tabColor rgb="FFFFFF00"/>
    <pageSetUpPr fitToPage="1"/>
  </sheetPr>
  <dimension ref="A1:O243"/>
  <sheetViews>
    <sheetView workbookViewId="0">
      <selection sqref="A1:O243"/>
    </sheetView>
  </sheetViews>
  <sheetFormatPr baseColWidth="10" defaultRowHeight="16"/>
  <sheetData>
    <row r="1" spans="1:15">
      <c r="A1" s="711"/>
      <c r="B1" s="711"/>
      <c r="C1" s="711"/>
      <c r="D1" s="711"/>
      <c r="E1" s="711"/>
      <c r="F1" s="711"/>
      <c r="G1" s="711"/>
      <c r="H1" s="711"/>
      <c r="I1" s="711"/>
      <c r="J1" s="711"/>
      <c r="K1" s="711"/>
      <c r="L1" s="711"/>
      <c r="M1" s="711"/>
      <c r="N1" s="711"/>
      <c r="O1" s="711"/>
    </row>
    <row r="2" spans="1:15">
      <c r="A2" s="711"/>
      <c r="B2" s="711"/>
      <c r="C2" s="711"/>
      <c r="D2" s="711"/>
      <c r="E2" s="711"/>
      <c r="F2" s="711"/>
      <c r="G2" s="711"/>
      <c r="H2" s="711"/>
      <c r="I2" s="711"/>
      <c r="J2" s="711"/>
      <c r="K2" s="711"/>
      <c r="L2" s="711"/>
      <c r="M2" s="711"/>
      <c r="N2" s="711"/>
      <c r="O2" s="711"/>
    </row>
    <row r="3" spans="1:15">
      <c r="A3" s="711"/>
      <c r="B3" s="711"/>
      <c r="C3" s="711"/>
      <c r="D3" s="711"/>
      <c r="E3" s="711"/>
      <c r="F3" s="711"/>
      <c r="G3" s="711"/>
      <c r="H3" s="711"/>
      <c r="I3" s="711"/>
      <c r="J3" s="711"/>
      <c r="K3" s="711"/>
      <c r="L3" s="711"/>
      <c r="M3" s="711"/>
      <c r="N3" s="711"/>
      <c r="O3" s="711"/>
    </row>
    <row r="4" spans="1:15">
      <c r="A4" s="711"/>
      <c r="B4" s="711"/>
      <c r="C4" s="711"/>
      <c r="D4" s="711"/>
      <c r="E4" s="711"/>
      <c r="F4" s="711"/>
      <c r="G4" s="711"/>
      <c r="H4" s="711"/>
      <c r="I4" s="711"/>
      <c r="J4" s="711"/>
      <c r="K4" s="711"/>
      <c r="L4" s="711"/>
      <c r="M4" s="711"/>
      <c r="N4" s="711"/>
      <c r="O4" s="711"/>
    </row>
    <row r="5" spans="1:15">
      <c r="A5" s="711"/>
      <c r="B5" s="711"/>
      <c r="C5" s="711"/>
      <c r="D5" s="711"/>
      <c r="E5" s="711"/>
      <c r="F5" s="711"/>
      <c r="G5" s="711"/>
      <c r="H5" s="711"/>
      <c r="I5" s="711"/>
      <c r="J5" s="711"/>
      <c r="K5" s="711"/>
      <c r="L5" s="711"/>
      <c r="M5" s="711"/>
      <c r="N5" s="711"/>
      <c r="O5" s="711"/>
    </row>
    <row r="6" spans="1:15">
      <c r="A6" s="711"/>
      <c r="B6" s="711"/>
      <c r="C6" s="711"/>
      <c r="D6" s="711"/>
      <c r="E6" s="711"/>
      <c r="F6" s="711"/>
      <c r="G6" s="711"/>
      <c r="H6" s="711"/>
      <c r="I6" s="711"/>
      <c r="J6" s="711"/>
      <c r="K6" s="711"/>
      <c r="L6" s="711"/>
      <c r="M6" s="711"/>
      <c r="N6" s="711"/>
      <c r="O6" s="711"/>
    </row>
    <row r="7" spans="1:15">
      <c r="A7" s="711"/>
      <c r="B7" s="711"/>
      <c r="C7" s="711"/>
      <c r="D7" s="711"/>
      <c r="E7" s="711"/>
      <c r="F7" s="711"/>
      <c r="G7" s="711"/>
      <c r="H7" s="711"/>
      <c r="I7" s="711"/>
      <c r="J7" s="711"/>
      <c r="K7" s="711"/>
      <c r="L7" s="711"/>
      <c r="M7" s="711"/>
      <c r="N7" s="711"/>
      <c r="O7" s="711"/>
    </row>
    <row r="8" spans="1:15">
      <c r="A8" s="711"/>
      <c r="B8" s="711"/>
      <c r="C8" s="711"/>
      <c r="D8" s="711"/>
      <c r="E8" s="711"/>
      <c r="F8" s="711"/>
      <c r="G8" s="711"/>
      <c r="H8" s="711"/>
      <c r="I8" s="711"/>
      <c r="J8" s="711"/>
      <c r="K8" s="711"/>
      <c r="L8" s="711"/>
      <c r="M8" s="711"/>
      <c r="N8" s="711"/>
      <c r="O8" s="711"/>
    </row>
    <row r="9" spans="1:15" ht="56" customHeight="1">
      <c r="A9" s="711"/>
      <c r="B9" s="711"/>
      <c r="C9" s="711"/>
      <c r="D9" s="711"/>
      <c r="E9" s="711"/>
      <c r="F9" s="711"/>
      <c r="G9" s="711"/>
      <c r="H9" s="711"/>
      <c r="I9" s="711"/>
      <c r="J9" s="711"/>
      <c r="K9" s="711"/>
      <c r="L9" s="711"/>
      <c r="M9" s="711"/>
      <c r="N9" s="711"/>
      <c r="O9" s="711"/>
    </row>
    <row r="10" spans="1:15">
      <c r="A10" s="711"/>
      <c r="B10" s="711"/>
      <c r="C10" s="711"/>
      <c r="D10" s="711"/>
      <c r="E10" s="711"/>
      <c r="F10" s="711"/>
      <c r="G10" s="711"/>
      <c r="H10" s="711"/>
      <c r="I10" s="711"/>
      <c r="J10" s="711"/>
      <c r="K10" s="711"/>
      <c r="L10" s="711"/>
      <c r="M10" s="711"/>
      <c r="N10" s="711"/>
      <c r="O10" s="711"/>
    </row>
    <row r="11" spans="1:15">
      <c r="A11" s="711"/>
      <c r="B11" s="711"/>
      <c r="C11" s="711"/>
      <c r="D11" s="711"/>
      <c r="E11" s="711"/>
      <c r="F11" s="711"/>
      <c r="G11" s="711"/>
      <c r="H11" s="711"/>
      <c r="I11" s="711"/>
      <c r="J11" s="711"/>
      <c r="K11" s="711"/>
      <c r="L11" s="711"/>
      <c r="M11" s="711"/>
      <c r="N11" s="711"/>
      <c r="O11" s="711"/>
    </row>
    <row r="12" spans="1:15">
      <c r="A12" s="711"/>
      <c r="B12" s="711"/>
      <c r="C12" s="711"/>
      <c r="D12" s="711"/>
      <c r="E12" s="711"/>
      <c r="F12" s="711"/>
      <c r="G12" s="711"/>
      <c r="H12" s="711"/>
      <c r="I12" s="711"/>
      <c r="J12" s="711"/>
      <c r="K12" s="711"/>
      <c r="L12" s="711"/>
      <c r="M12" s="711"/>
      <c r="N12" s="711"/>
      <c r="O12" s="711"/>
    </row>
    <row r="13" spans="1:15">
      <c r="A13" s="711"/>
      <c r="B13" s="711"/>
      <c r="C13" s="711"/>
      <c r="D13" s="711"/>
      <c r="E13" s="711"/>
      <c r="F13" s="711"/>
      <c r="G13" s="711"/>
      <c r="H13" s="711"/>
      <c r="I13" s="711"/>
      <c r="J13" s="711"/>
      <c r="K13" s="711"/>
      <c r="L13" s="711"/>
      <c r="M13" s="711"/>
      <c r="N13" s="711"/>
      <c r="O13" s="711"/>
    </row>
    <row r="14" spans="1:15">
      <c r="A14" s="711"/>
      <c r="B14" s="711"/>
      <c r="C14" s="711"/>
      <c r="D14" s="711"/>
      <c r="E14" s="711"/>
      <c r="F14" s="711"/>
      <c r="G14" s="711"/>
      <c r="H14" s="711"/>
      <c r="I14" s="711"/>
      <c r="J14" s="711"/>
      <c r="K14" s="711"/>
      <c r="L14" s="711"/>
      <c r="M14" s="711"/>
      <c r="N14" s="711"/>
      <c r="O14" s="711"/>
    </row>
    <row r="15" spans="1:15">
      <c r="A15" s="711"/>
      <c r="B15" s="711"/>
      <c r="C15" s="711"/>
      <c r="D15" s="711"/>
      <c r="E15" s="711"/>
      <c r="F15" s="711"/>
      <c r="G15" s="711"/>
      <c r="H15" s="711"/>
      <c r="I15" s="711"/>
      <c r="J15" s="711"/>
      <c r="K15" s="711"/>
      <c r="L15" s="711"/>
      <c r="M15" s="711"/>
      <c r="N15" s="711"/>
      <c r="O15" s="711"/>
    </row>
    <row r="16" spans="1:15">
      <c r="A16" s="711"/>
      <c r="B16" s="711"/>
      <c r="C16" s="711"/>
      <c r="D16" s="711"/>
      <c r="E16" s="711"/>
      <c r="F16" s="711"/>
      <c r="G16" s="711"/>
      <c r="H16" s="711"/>
      <c r="I16" s="711"/>
      <c r="J16" s="711"/>
      <c r="K16" s="711"/>
      <c r="L16" s="711"/>
      <c r="M16" s="711"/>
      <c r="N16" s="711"/>
      <c r="O16" s="711"/>
    </row>
    <row r="17" spans="1:15">
      <c r="A17" s="711"/>
      <c r="B17" s="711"/>
      <c r="C17" s="711"/>
      <c r="D17" s="711"/>
      <c r="E17" s="711"/>
      <c r="F17" s="711"/>
      <c r="G17" s="711"/>
      <c r="H17" s="711"/>
      <c r="I17" s="711"/>
      <c r="J17" s="711"/>
      <c r="K17" s="711"/>
      <c r="L17" s="711"/>
      <c r="M17" s="711"/>
      <c r="N17" s="711"/>
      <c r="O17" s="711"/>
    </row>
    <row r="18" spans="1:15">
      <c r="A18" s="711"/>
      <c r="B18" s="711"/>
      <c r="C18" s="711"/>
      <c r="D18" s="711"/>
      <c r="E18" s="711"/>
      <c r="F18" s="711"/>
      <c r="G18" s="711"/>
      <c r="H18" s="711"/>
      <c r="I18" s="711"/>
      <c r="J18" s="711"/>
      <c r="K18" s="711"/>
      <c r="L18" s="711"/>
      <c r="M18" s="711"/>
      <c r="N18" s="711"/>
      <c r="O18" s="711"/>
    </row>
    <row r="19" spans="1:15">
      <c r="A19" s="711"/>
      <c r="B19" s="711"/>
      <c r="C19" s="711"/>
      <c r="D19" s="711"/>
      <c r="E19" s="711"/>
      <c r="F19" s="711"/>
      <c r="G19" s="711"/>
      <c r="H19" s="711"/>
      <c r="I19" s="711"/>
      <c r="J19" s="711"/>
      <c r="K19" s="711"/>
      <c r="L19" s="711"/>
      <c r="M19" s="711"/>
      <c r="N19" s="711"/>
      <c r="O19" s="711"/>
    </row>
    <row r="20" spans="1:15">
      <c r="A20" s="711"/>
      <c r="B20" s="711"/>
      <c r="C20" s="711"/>
      <c r="D20" s="711"/>
      <c r="E20" s="711"/>
      <c r="F20" s="711"/>
      <c r="G20" s="711"/>
      <c r="H20" s="711"/>
      <c r="I20" s="711"/>
      <c r="J20" s="711"/>
      <c r="K20" s="711"/>
      <c r="L20" s="711"/>
      <c r="M20" s="711"/>
      <c r="N20" s="711"/>
      <c r="O20" s="711"/>
    </row>
    <row r="21" spans="1:15">
      <c r="A21" s="711"/>
      <c r="B21" s="711"/>
      <c r="C21" s="711"/>
      <c r="D21" s="711"/>
      <c r="E21" s="711"/>
      <c r="F21" s="711"/>
      <c r="G21" s="711"/>
      <c r="H21" s="711"/>
      <c r="I21" s="711"/>
      <c r="J21" s="711"/>
      <c r="K21" s="711"/>
      <c r="L21" s="711"/>
      <c r="M21" s="711"/>
      <c r="N21" s="711"/>
      <c r="O21" s="711"/>
    </row>
    <row r="22" spans="1:15">
      <c r="A22" s="711"/>
      <c r="B22" s="711"/>
      <c r="C22" s="711"/>
      <c r="D22" s="711"/>
      <c r="E22" s="711"/>
      <c r="F22" s="711"/>
      <c r="G22" s="711"/>
      <c r="H22" s="711"/>
      <c r="I22" s="711"/>
      <c r="J22" s="711"/>
      <c r="K22" s="711"/>
      <c r="L22" s="711"/>
      <c r="M22" s="711"/>
      <c r="N22" s="711"/>
      <c r="O22" s="711"/>
    </row>
    <row r="23" spans="1:15">
      <c r="A23" s="711"/>
      <c r="B23" s="711"/>
      <c r="C23" s="711"/>
      <c r="D23" s="711"/>
      <c r="E23" s="711"/>
      <c r="F23" s="711"/>
      <c r="G23" s="711"/>
      <c r="H23" s="711"/>
      <c r="I23" s="711"/>
      <c r="J23" s="711"/>
      <c r="K23" s="711"/>
      <c r="L23" s="711"/>
      <c r="M23" s="711"/>
      <c r="N23" s="711"/>
      <c r="O23" s="711"/>
    </row>
    <row r="24" spans="1:15">
      <c r="A24" s="711"/>
      <c r="B24" s="711"/>
      <c r="C24" s="711"/>
      <c r="D24" s="711"/>
      <c r="E24" s="711"/>
      <c r="F24" s="711"/>
      <c r="G24" s="711"/>
      <c r="H24" s="711"/>
      <c r="I24" s="711"/>
      <c r="J24" s="711"/>
      <c r="K24" s="711"/>
      <c r="L24" s="711"/>
      <c r="M24" s="711"/>
      <c r="N24" s="711"/>
      <c r="O24" s="711"/>
    </row>
    <row r="25" spans="1:15">
      <c r="A25" s="711"/>
      <c r="B25" s="711"/>
      <c r="C25" s="711"/>
      <c r="D25" s="711"/>
      <c r="E25" s="711"/>
      <c r="F25" s="711"/>
      <c r="G25" s="711"/>
      <c r="H25" s="711"/>
      <c r="I25" s="711"/>
      <c r="J25" s="711"/>
      <c r="K25" s="711"/>
      <c r="L25" s="711"/>
      <c r="M25" s="711"/>
      <c r="N25" s="711"/>
      <c r="O25" s="711"/>
    </row>
    <row r="26" spans="1:15">
      <c r="A26" s="711"/>
      <c r="B26" s="711"/>
      <c r="C26" s="711"/>
      <c r="D26" s="711"/>
      <c r="E26" s="711"/>
      <c r="F26" s="711"/>
      <c r="G26" s="711"/>
      <c r="H26" s="711"/>
      <c r="I26" s="711"/>
      <c r="J26" s="711"/>
      <c r="K26" s="711"/>
      <c r="L26" s="711"/>
      <c r="M26" s="711"/>
      <c r="N26" s="711"/>
      <c r="O26" s="711"/>
    </row>
    <row r="27" spans="1:15">
      <c r="A27" s="711"/>
      <c r="B27" s="711"/>
      <c r="C27" s="711"/>
      <c r="D27" s="711"/>
      <c r="E27" s="711"/>
      <c r="F27" s="711"/>
      <c r="G27" s="711"/>
      <c r="H27" s="711"/>
      <c r="I27" s="711"/>
      <c r="J27" s="711"/>
      <c r="K27" s="711"/>
      <c r="L27" s="711"/>
      <c r="M27" s="711"/>
      <c r="N27" s="711"/>
      <c r="O27" s="711"/>
    </row>
    <row r="28" spans="1:15">
      <c r="A28" s="711"/>
      <c r="B28" s="711"/>
      <c r="C28" s="711"/>
      <c r="D28" s="711"/>
      <c r="E28" s="711"/>
      <c r="F28" s="711"/>
      <c r="G28" s="711"/>
      <c r="H28" s="711"/>
      <c r="I28" s="711"/>
      <c r="J28" s="711"/>
      <c r="K28" s="711"/>
      <c r="L28" s="711"/>
      <c r="M28" s="711"/>
      <c r="N28" s="711"/>
      <c r="O28" s="711"/>
    </row>
    <row r="29" spans="1:15">
      <c r="A29" s="711"/>
      <c r="B29" s="711"/>
      <c r="C29" s="711"/>
      <c r="D29" s="711"/>
      <c r="E29" s="711"/>
      <c r="F29" s="711"/>
      <c r="G29" s="711"/>
      <c r="H29" s="711"/>
      <c r="I29" s="711"/>
      <c r="J29" s="711"/>
      <c r="K29" s="711"/>
      <c r="L29" s="711"/>
      <c r="M29" s="711"/>
      <c r="N29" s="711"/>
      <c r="O29" s="711"/>
    </row>
    <row r="30" spans="1:15">
      <c r="A30" s="711"/>
      <c r="B30" s="711"/>
      <c r="C30" s="711"/>
      <c r="D30" s="711"/>
      <c r="E30" s="711"/>
      <c r="F30" s="711"/>
      <c r="G30" s="711"/>
      <c r="H30" s="711"/>
      <c r="I30" s="711"/>
      <c r="J30" s="711"/>
      <c r="K30" s="711"/>
      <c r="L30" s="711"/>
      <c r="M30" s="711"/>
      <c r="N30" s="711"/>
      <c r="O30" s="711"/>
    </row>
    <row r="31" spans="1:15">
      <c r="A31" s="711"/>
      <c r="B31" s="711"/>
      <c r="C31" s="711"/>
      <c r="D31" s="711"/>
      <c r="E31" s="711"/>
      <c r="F31" s="711"/>
      <c r="G31" s="711"/>
      <c r="H31" s="711"/>
      <c r="I31" s="711"/>
      <c r="J31" s="711"/>
      <c r="K31" s="711"/>
      <c r="L31" s="711"/>
      <c r="M31" s="711"/>
      <c r="N31" s="711"/>
      <c r="O31" s="711"/>
    </row>
    <row r="32" spans="1:15">
      <c r="A32" s="711"/>
      <c r="B32" s="711"/>
      <c r="C32" s="711"/>
      <c r="D32" s="711"/>
      <c r="E32" s="711"/>
      <c r="F32" s="711"/>
      <c r="G32" s="711"/>
      <c r="H32" s="711"/>
      <c r="I32" s="711"/>
      <c r="J32" s="711"/>
      <c r="K32" s="711"/>
      <c r="L32" s="711"/>
      <c r="M32" s="711"/>
      <c r="N32" s="711"/>
      <c r="O32" s="711"/>
    </row>
    <row r="33" spans="1:15">
      <c r="A33" s="711"/>
      <c r="B33" s="711"/>
      <c r="C33" s="711"/>
      <c r="D33" s="711"/>
      <c r="E33" s="711"/>
      <c r="F33" s="711"/>
      <c r="G33" s="711"/>
      <c r="H33" s="711"/>
      <c r="I33" s="711"/>
      <c r="J33" s="711"/>
      <c r="K33" s="711"/>
      <c r="L33" s="711"/>
      <c r="M33" s="711"/>
      <c r="N33" s="711"/>
      <c r="O33" s="711"/>
    </row>
    <row r="34" spans="1:15">
      <c r="A34" s="711"/>
      <c r="B34" s="711"/>
      <c r="C34" s="711"/>
      <c r="D34" s="711"/>
      <c r="E34" s="711"/>
      <c r="F34" s="711"/>
      <c r="G34" s="711"/>
      <c r="H34" s="711"/>
      <c r="I34" s="711"/>
      <c r="J34" s="711"/>
      <c r="K34" s="711"/>
      <c r="L34" s="711"/>
      <c r="M34" s="711"/>
      <c r="N34" s="711"/>
      <c r="O34" s="711"/>
    </row>
    <row r="35" spans="1:15">
      <c r="A35" s="711"/>
      <c r="B35" s="711"/>
      <c r="C35" s="711"/>
      <c r="D35" s="711"/>
      <c r="E35" s="711"/>
      <c r="F35" s="711"/>
      <c r="G35" s="711"/>
      <c r="H35" s="711"/>
      <c r="I35" s="711"/>
      <c r="J35" s="711"/>
      <c r="K35" s="711"/>
      <c r="L35" s="711"/>
      <c r="M35" s="711"/>
      <c r="N35" s="711"/>
      <c r="O35" s="711"/>
    </row>
    <row r="36" spans="1:15">
      <c r="A36" s="711"/>
      <c r="B36" s="711"/>
      <c r="C36" s="711"/>
      <c r="D36" s="711"/>
      <c r="E36" s="711"/>
      <c r="F36" s="711"/>
      <c r="G36" s="711"/>
      <c r="H36" s="711"/>
      <c r="I36" s="711"/>
      <c r="J36" s="711"/>
      <c r="K36" s="711"/>
      <c r="L36" s="711"/>
      <c r="M36" s="711"/>
      <c r="N36" s="711"/>
      <c r="O36" s="711"/>
    </row>
    <row r="37" spans="1:15">
      <c r="A37" s="711"/>
      <c r="B37" s="711"/>
      <c r="C37" s="711"/>
      <c r="D37" s="711"/>
      <c r="E37" s="711"/>
      <c r="F37" s="711"/>
      <c r="G37" s="711"/>
      <c r="H37" s="711"/>
      <c r="I37" s="711"/>
      <c r="J37" s="711"/>
      <c r="K37" s="711"/>
      <c r="L37" s="711"/>
      <c r="M37" s="711"/>
      <c r="N37" s="711"/>
      <c r="O37" s="711"/>
    </row>
    <row r="38" spans="1:15">
      <c r="A38" s="711"/>
      <c r="B38" s="711"/>
      <c r="C38" s="711"/>
      <c r="D38" s="711"/>
      <c r="E38" s="711"/>
      <c r="F38" s="711"/>
      <c r="G38" s="711"/>
      <c r="H38" s="711"/>
      <c r="I38" s="711"/>
      <c r="J38" s="711"/>
      <c r="K38" s="711"/>
      <c r="L38" s="711"/>
      <c r="M38" s="711"/>
      <c r="N38" s="711"/>
      <c r="O38" s="711"/>
    </row>
    <row r="39" spans="1:15">
      <c r="A39" s="711"/>
      <c r="B39" s="711"/>
      <c r="C39" s="711"/>
      <c r="D39" s="711"/>
      <c r="E39" s="711"/>
      <c r="F39" s="711"/>
      <c r="G39" s="711"/>
      <c r="H39" s="711"/>
      <c r="I39" s="711"/>
      <c r="J39" s="711"/>
      <c r="K39" s="711"/>
      <c r="L39" s="711"/>
      <c r="M39" s="711"/>
      <c r="N39" s="711"/>
      <c r="O39" s="711"/>
    </row>
    <row r="40" spans="1:15">
      <c r="A40" s="711"/>
      <c r="B40" s="711"/>
      <c r="C40" s="711"/>
      <c r="D40" s="711"/>
      <c r="E40" s="711"/>
      <c r="F40" s="711"/>
      <c r="G40" s="711"/>
      <c r="H40" s="711"/>
      <c r="I40" s="711"/>
      <c r="J40" s="711"/>
      <c r="K40" s="711"/>
      <c r="L40" s="711"/>
      <c r="M40" s="711"/>
      <c r="N40" s="711"/>
      <c r="O40" s="711"/>
    </row>
    <row r="41" spans="1:15">
      <c r="A41" s="711"/>
      <c r="B41" s="711"/>
      <c r="C41" s="711"/>
      <c r="D41" s="711"/>
      <c r="E41" s="711"/>
      <c r="F41" s="711"/>
      <c r="G41" s="711"/>
      <c r="H41" s="711"/>
      <c r="I41" s="711"/>
      <c r="J41" s="711"/>
      <c r="K41" s="711"/>
      <c r="L41" s="711"/>
      <c r="M41" s="711"/>
      <c r="N41" s="711"/>
      <c r="O41" s="711"/>
    </row>
    <row r="42" spans="1:15">
      <c r="A42" s="711"/>
      <c r="B42" s="711"/>
      <c r="C42" s="711"/>
      <c r="D42" s="711"/>
      <c r="E42" s="711"/>
      <c r="F42" s="711"/>
      <c r="G42" s="711"/>
      <c r="H42" s="711"/>
      <c r="I42" s="711"/>
      <c r="J42" s="711"/>
      <c r="K42" s="711"/>
      <c r="L42" s="711"/>
      <c r="M42" s="711"/>
      <c r="N42" s="711"/>
      <c r="O42" s="711"/>
    </row>
    <row r="43" spans="1:15">
      <c r="A43" s="711"/>
      <c r="B43" s="711"/>
      <c r="C43" s="711"/>
      <c r="D43" s="711"/>
      <c r="E43" s="711"/>
      <c r="F43" s="711"/>
      <c r="G43" s="711"/>
      <c r="H43" s="711"/>
      <c r="I43" s="711"/>
      <c r="J43" s="711"/>
      <c r="K43" s="711"/>
      <c r="L43" s="711"/>
      <c r="M43" s="711"/>
      <c r="N43" s="711"/>
      <c r="O43" s="711"/>
    </row>
    <row r="44" spans="1:15">
      <c r="A44" s="711"/>
      <c r="B44" s="711"/>
      <c r="C44" s="711"/>
      <c r="D44" s="711"/>
      <c r="E44" s="711"/>
      <c r="F44" s="711"/>
      <c r="G44" s="711"/>
      <c r="H44" s="711"/>
      <c r="I44" s="711"/>
      <c r="J44" s="711"/>
      <c r="K44" s="711"/>
      <c r="L44" s="711"/>
      <c r="M44" s="711"/>
      <c r="N44" s="711"/>
      <c r="O44" s="711"/>
    </row>
    <row r="45" spans="1:15">
      <c r="A45" s="711"/>
      <c r="B45" s="711"/>
      <c r="C45" s="711"/>
      <c r="D45" s="711"/>
      <c r="E45" s="711"/>
      <c r="F45" s="711"/>
      <c r="G45" s="711"/>
      <c r="H45" s="711"/>
      <c r="I45" s="711"/>
      <c r="J45" s="711"/>
      <c r="K45" s="711"/>
      <c r="L45" s="711"/>
      <c r="M45" s="711"/>
      <c r="N45" s="711"/>
      <c r="O45" s="711"/>
    </row>
    <row r="46" spans="1:15">
      <c r="A46" s="711"/>
      <c r="B46" s="711"/>
      <c r="C46" s="711"/>
      <c r="D46" s="711"/>
      <c r="E46" s="711"/>
      <c r="F46" s="711"/>
      <c r="G46" s="711"/>
      <c r="H46" s="711"/>
      <c r="I46" s="711"/>
      <c r="J46" s="711"/>
      <c r="K46" s="711"/>
      <c r="L46" s="711"/>
      <c r="M46" s="711"/>
      <c r="N46" s="711"/>
      <c r="O46" s="711"/>
    </row>
    <row r="47" spans="1:15">
      <c r="A47" s="711"/>
      <c r="B47" s="711"/>
      <c r="C47" s="711"/>
      <c r="D47" s="711"/>
      <c r="E47" s="711"/>
      <c r="F47" s="711"/>
      <c r="G47" s="711"/>
      <c r="H47" s="711"/>
      <c r="I47" s="711"/>
      <c r="J47" s="711"/>
      <c r="K47" s="711"/>
      <c r="L47" s="711"/>
      <c r="M47" s="711"/>
      <c r="N47" s="711"/>
      <c r="O47" s="711"/>
    </row>
    <row r="48" spans="1:15">
      <c r="A48" s="711"/>
      <c r="B48" s="711"/>
      <c r="C48" s="711"/>
      <c r="D48" s="711"/>
      <c r="E48" s="711"/>
      <c r="F48" s="711"/>
      <c r="G48" s="711"/>
      <c r="H48" s="711"/>
      <c r="I48" s="711"/>
      <c r="J48" s="711"/>
      <c r="K48" s="711"/>
      <c r="L48" s="711"/>
      <c r="M48" s="711"/>
      <c r="N48" s="711"/>
      <c r="O48" s="711"/>
    </row>
    <row r="49" spans="1:15">
      <c r="A49" s="711"/>
      <c r="B49" s="711"/>
      <c r="C49" s="711"/>
      <c r="D49" s="711"/>
      <c r="E49" s="711"/>
      <c r="F49" s="711"/>
      <c r="G49" s="711"/>
      <c r="H49" s="711"/>
      <c r="I49" s="711"/>
      <c r="J49" s="711"/>
      <c r="K49" s="711"/>
      <c r="L49" s="711"/>
      <c r="M49" s="711"/>
      <c r="N49" s="711"/>
      <c r="O49" s="711"/>
    </row>
    <row r="50" spans="1:15">
      <c r="A50" s="711"/>
      <c r="B50" s="711"/>
      <c r="C50" s="711"/>
      <c r="D50" s="711"/>
      <c r="E50" s="711"/>
      <c r="F50" s="711"/>
      <c r="G50" s="711"/>
      <c r="H50" s="711"/>
      <c r="I50" s="711"/>
      <c r="J50" s="711"/>
      <c r="K50" s="711"/>
      <c r="L50" s="711"/>
      <c r="M50" s="711"/>
      <c r="N50" s="711"/>
      <c r="O50" s="711"/>
    </row>
    <row r="51" spans="1:15">
      <c r="A51" s="711"/>
      <c r="B51" s="711"/>
      <c r="C51" s="711"/>
      <c r="D51" s="711"/>
      <c r="E51" s="711"/>
      <c r="F51" s="711"/>
      <c r="G51" s="711"/>
      <c r="H51" s="711"/>
      <c r="I51" s="711"/>
      <c r="J51" s="711"/>
      <c r="K51" s="711"/>
      <c r="L51" s="711"/>
      <c r="M51" s="711"/>
      <c r="N51" s="711"/>
      <c r="O51" s="711"/>
    </row>
    <row r="52" spans="1:15">
      <c r="A52" s="711"/>
      <c r="B52" s="711"/>
      <c r="C52" s="711"/>
      <c r="D52" s="711"/>
      <c r="E52" s="711"/>
      <c r="F52" s="711"/>
      <c r="G52" s="711"/>
      <c r="H52" s="711"/>
      <c r="I52" s="711"/>
      <c r="J52" s="711"/>
      <c r="K52" s="711"/>
      <c r="L52" s="711"/>
      <c r="M52" s="711"/>
      <c r="N52" s="711"/>
      <c r="O52" s="711"/>
    </row>
    <row r="53" spans="1:15">
      <c r="A53" s="711"/>
      <c r="B53" s="711"/>
      <c r="C53" s="711"/>
      <c r="D53" s="711"/>
      <c r="E53" s="711"/>
      <c r="F53" s="711"/>
      <c r="G53" s="711"/>
      <c r="H53" s="711"/>
      <c r="I53" s="711"/>
      <c r="J53" s="711"/>
      <c r="K53" s="711"/>
      <c r="L53" s="711"/>
      <c r="M53" s="711"/>
      <c r="N53" s="711"/>
      <c r="O53" s="711"/>
    </row>
    <row r="54" spans="1:15">
      <c r="A54" s="711"/>
      <c r="B54" s="711"/>
      <c r="C54" s="711"/>
      <c r="D54" s="711"/>
      <c r="E54" s="711"/>
      <c r="F54" s="711"/>
      <c r="G54" s="711"/>
      <c r="H54" s="711"/>
      <c r="I54" s="711"/>
      <c r="J54" s="711"/>
      <c r="K54" s="711"/>
      <c r="L54" s="711"/>
      <c r="M54" s="711"/>
      <c r="N54" s="711"/>
      <c r="O54" s="711"/>
    </row>
    <row r="55" spans="1:15">
      <c r="A55" s="711"/>
      <c r="B55" s="711"/>
      <c r="C55" s="711"/>
      <c r="D55" s="711"/>
      <c r="E55" s="711"/>
      <c r="F55" s="711"/>
      <c r="G55" s="711"/>
      <c r="H55" s="711"/>
      <c r="I55" s="711"/>
      <c r="J55" s="711"/>
      <c r="K55" s="711"/>
      <c r="L55" s="711"/>
      <c r="M55" s="711"/>
      <c r="N55" s="711"/>
      <c r="O55" s="711"/>
    </row>
    <row r="56" spans="1:15">
      <c r="A56" s="711"/>
      <c r="B56" s="711"/>
      <c r="C56" s="711"/>
      <c r="D56" s="711"/>
      <c r="E56" s="711"/>
      <c r="F56" s="711"/>
      <c r="G56" s="711"/>
      <c r="H56" s="711"/>
      <c r="I56" s="711"/>
      <c r="J56" s="711"/>
      <c r="K56" s="711"/>
      <c r="L56" s="711"/>
      <c r="M56" s="711"/>
      <c r="N56" s="711"/>
      <c r="O56" s="711"/>
    </row>
    <row r="57" spans="1:15">
      <c r="A57" s="711"/>
      <c r="B57" s="711"/>
      <c r="C57" s="711"/>
      <c r="D57" s="711"/>
      <c r="E57" s="711"/>
      <c r="F57" s="711"/>
      <c r="G57" s="711"/>
      <c r="H57" s="711"/>
      <c r="I57" s="711"/>
      <c r="J57" s="711"/>
      <c r="K57" s="711"/>
      <c r="L57" s="711"/>
      <c r="M57" s="711"/>
      <c r="N57" s="711"/>
      <c r="O57" s="711"/>
    </row>
    <row r="58" spans="1:15">
      <c r="A58" s="711"/>
      <c r="B58" s="711"/>
      <c r="C58" s="711"/>
      <c r="D58" s="711"/>
      <c r="E58" s="711"/>
      <c r="F58" s="711"/>
      <c r="G58" s="711"/>
      <c r="H58" s="711"/>
      <c r="I58" s="711"/>
      <c r="J58" s="711"/>
      <c r="K58" s="711"/>
      <c r="L58" s="711"/>
      <c r="M58" s="711"/>
      <c r="N58" s="711"/>
      <c r="O58" s="711"/>
    </row>
    <row r="59" spans="1:15">
      <c r="A59" s="711"/>
      <c r="B59" s="711"/>
      <c r="C59" s="711"/>
      <c r="D59" s="711"/>
      <c r="E59" s="711"/>
      <c r="F59" s="711"/>
      <c r="G59" s="711"/>
      <c r="H59" s="711"/>
      <c r="I59" s="711"/>
      <c r="J59" s="711"/>
      <c r="K59" s="711"/>
      <c r="L59" s="711"/>
      <c r="M59" s="711"/>
      <c r="N59" s="711"/>
      <c r="O59" s="711"/>
    </row>
    <row r="60" spans="1:15">
      <c r="A60" s="711"/>
      <c r="B60" s="711"/>
      <c r="C60" s="711"/>
      <c r="D60" s="711"/>
      <c r="E60" s="711"/>
      <c r="F60" s="711"/>
      <c r="G60" s="711"/>
      <c r="H60" s="711"/>
      <c r="I60" s="711"/>
      <c r="J60" s="711"/>
      <c r="K60" s="711"/>
      <c r="L60" s="711"/>
      <c r="M60" s="711"/>
      <c r="N60" s="711"/>
      <c r="O60" s="711"/>
    </row>
    <row r="61" spans="1:15">
      <c r="A61" s="711"/>
      <c r="B61" s="711"/>
      <c r="C61" s="711"/>
      <c r="D61" s="711"/>
      <c r="E61" s="711"/>
      <c r="F61" s="711"/>
      <c r="G61" s="711"/>
      <c r="H61" s="711"/>
      <c r="I61" s="711"/>
      <c r="J61" s="711"/>
      <c r="K61" s="711"/>
      <c r="L61" s="711"/>
      <c r="M61" s="711"/>
      <c r="N61" s="711"/>
      <c r="O61" s="711"/>
    </row>
    <row r="62" spans="1:15">
      <c r="A62" s="711"/>
      <c r="B62" s="711"/>
      <c r="C62" s="711"/>
      <c r="D62" s="711"/>
      <c r="E62" s="711"/>
      <c r="F62" s="711"/>
      <c r="G62" s="711"/>
      <c r="H62" s="711"/>
      <c r="I62" s="711"/>
      <c r="J62" s="711"/>
      <c r="K62" s="711"/>
      <c r="L62" s="711"/>
      <c r="M62" s="711"/>
      <c r="N62" s="711"/>
      <c r="O62" s="711"/>
    </row>
    <row r="63" spans="1:15">
      <c r="A63" s="711"/>
      <c r="B63" s="711"/>
      <c r="C63" s="711"/>
      <c r="D63" s="711"/>
      <c r="E63" s="711"/>
      <c r="F63" s="711"/>
      <c r="G63" s="711"/>
      <c r="H63" s="711"/>
      <c r="I63" s="711"/>
      <c r="J63" s="711"/>
      <c r="K63" s="711"/>
      <c r="L63" s="711"/>
      <c r="M63" s="711"/>
      <c r="N63" s="711"/>
      <c r="O63" s="711"/>
    </row>
    <row r="64" spans="1:15">
      <c r="A64" s="711"/>
      <c r="B64" s="711"/>
      <c r="C64" s="711"/>
      <c r="D64" s="711"/>
      <c r="E64" s="711"/>
      <c r="F64" s="711"/>
      <c r="G64" s="711"/>
      <c r="H64" s="711"/>
      <c r="I64" s="711"/>
      <c r="J64" s="711"/>
      <c r="K64" s="711"/>
      <c r="L64" s="711"/>
      <c r="M64" s="711"/>
      <c r="N64" s="711"/>
      <c r="O64" s="711"/>
    </row>
    <row r="65" spans="1:15">
      <c r="A65" s="711"/>
      <c r="B65" s="711"/>
      <c r="C65" s="711"/>
      <c r="D65" s="711"/>
      <c r="E65" s="711"/>
      <c r="F65" s="711"/>
      <c r="G65" s="711"/>
      <c r="H65" s="711"/>
      <c r="I65" s="711"/>
      <c r="J65" s="711"/>
      <c r="K65" s="711"/>
      <c r="L65" s="711"/>
      <c r="M65" s="711"/>
      <c r="N65" s="711"/>
      <c r="O65" s="711"/>
    </row>
    <row r="66" spans="1:15">
      <c r="A66" s="711"/>
      <c r="B66" s="711"/>
      <c r="C66" s="711"/>
      <c r="D66" s="711"/>
      <c r="E66" s="711"/>
      <c r="F66" s="711"/>
      <c r="G66" s="711"/>
      <c r="H66" s="711"/>
      <c r="I66" s="711"/>
      <c r="J66" s="711"/>
      <c r="K66" s="711"/>
      <c r="L66" s="711"/>
      <c r="M66" s="711"/>
      <c r="N66" s="711"/>
      <c r="O66" s="711"/>
    </row>
    <row r="67" spans="1:15">
      <c r="A67" s="711"/>
      <c r="B67" s="711"/>
      <c r="C67" s="711"/>
      <c r="D67" s="711"/>
      <c r="E67" s="711"/>
      <c r="F67" s="711"/>
      <c r="G67" s="711"/>
      <c r="H67" s="711"/>
      <c r="I67" s="711"/>
      <c r="J67" s="711"/>
      <c r="K67" s="711"/>
      <c r="L67" s="711"/>
      <c r="M67" s="711"/>
      <c r="N67" s="711"/>
      <c r="O67" s="711"/>
    </row>
    <row r="68" spans="1:15">
      <c r="A68" s="711"/>
      <c r="B68" s="711"/>
      <c r="C68" s="711"/>
      <c r="D68" s="711"/>
      <c r="E68" s="711"/>
      <c r="F68" s="711"/>
      <c r="G68" s="711"/>
      <c r="H68" s="711"/>
      <c r="I68" s="711"/>
      <c r="J68" s="711"/>
      <c r="K68" s="711"/>
      <c r="L68" s="711"/>
      <c r="M68" s="711"/>
      <c r="N68" s="711"/>
      <c r="O68" s="711"/>
    </row>
    <row r="69" spans="1:15">
      <c r="A69" s="711"/>
      <c r="B69" s="711"/>
      <c r="C69" s="711"/>
      <c r="D69" s="711"/>
      <c r="E69" s="711"/>
      <c r="F69" s="711"/>
      <c r="G69" s="711"/>
      <c r="H69" s="711"/>
      <c r="I69" s="711"/>
      <c r="J69" s="711"/>
      <c r="K69" s="711"/>
      <c r="L69" s="711"/>
      <c r="M69" s="711"/>
      <c r="N69" s="711"/>
      <c r="O69" s="711"/>
    </row>
    <row r="70" spans="1:15">
      <c r="A70" s="711"/>
      <c r="B70" s="711"/>
      <c r="C70" s="711"/>
      <c r="D70" s="711"/>
      <c r="E70" s="711"/>
      <c r="F70" s="711"/>
      <c r="G70" s="711"/>
      <c r="H70" s="711"/>
      <c r="I70" s="711"/>
      <c r="J70" s="711"/>
      <c r="K70" s="711"/>
      <c r="L70" s="711"/>
      <c r="M70" s="711"/>
      <c r="N70" s="711"/>
      <c r="O70" s="711"/>
    </row>
    <row r="71" spans="1:15">
      <c r="A71" s="711"/>
      <c r="B71" s="711"/>
      <c r="C71" s="711"/>
      <c r="D71" s="711"/>
      <c r="E71" s="711"/>
      <c r="F71" s="711"/>
      <c r="G71" s="711"/>
      <c r="H71" s="711"/>
      <c r="I71" s="711"/>
      <c r="J71" s="711"/>
      <c r="K71" s="711"/>
      <c r="L71" s="711"/>
      <c r="M71" s="711"/>
      <c r="N71" s="711"/>
      <c r="O71" s="711"/>
    </row>
    <row r="72" spans="1:15">
      <c r="A72" s="711"/>
      <c r="B72" s="711"/>
      <c r="C72" s="711"/>
      <c r="D72" s="711"/>
      <c r="E72" s="711"/>
      <c r="F72" s="711"/>
      <c r="G72" s="711"/>
      <c r="H72" s="711"/>
      <c r="I72" s="711"/>
      <c r="J72" s="711"/>
      <c r="K72" s="711"/>
      <c r="L72" s="711"/>
      <c r="M72" s="711"/>
      <c r="N72" s="711"/>
      <c r="O72" s="711"/>
    </row>
    <row r="73" spans="1:15">
      <c r="A73" s="711"/>
      <c r="B73" s="711"/>
      <c r="C73" s="711"/>
      <c r="D73" s="711"/>
      <c r="E73" s="711"/>
      <c r="F73" s="711"/>
      <c r="G73" s="711"/>
      <c r="H73" s="711"/>
      <c r="I73" s="711"/>
      <c r="J73" s="711"/>
      <c r="K73" s="711"/>
      <c r="L73" s="711"/>
      <c r="M73" s="711"/>
      <c r="N73" s="711"/>
      <c r="O73" s="711"/>
    </row>
    <row r="74" spans="1:15">
      <c r="A74" s="711"/>
      <c r="B74" s="711"/>
      <c r="C74" s="711"/>
      <c r="D74" s="711"/>
      <c r="E74" s="711"/>
      <c r="F74" s="711"/>
      <c r="G74" s="711"/>
      <c r="H74" s="711"/>
      <c r="I74" s="711"/>
      <c r="J74" s="711"/>
      <c r="K74" s="711"/>
      <c r="L74" s="711"/>
      <c r="M74" s="711"/>
      <c r="N74" s="711"/>
      <c r="O74" s="711"/>
    </row>
    <row r="75" spans="1:15">
      <c r="A75" s="711"/>
      <c r="B75" s="711"/>
      <c r="C75" s="711"/>
      <c r="D75" s="711"/>
      <c r="E75" s="711"/>
      <c r="F75" s="711"/>
      <c r="G75" s="711"/>
      <c r="H75" s="711"/>
      <c r="I75" s="711"/>
      <c r="J75" s="711"/>
      <c r="K75" s="711"/>
      <c r="L75" s="711"/>
      <c r="M75" s="711"/>
      <c r="N75" s="711"/>
      <c r="O75" s="711"/>
    </row>
    <row r="76" spans="1:15">
      <c r="A76" s="711"/>
      <c r="B76" s="711"/>
      <c r="C76" s="711"/>
      <c r="D76" s="711"/>
      <c r="E76" s="711"/>
      <c r="F76" s="711"/>
      <c r="G76" s="711"/>
      <c r="H76" s="711"/>
      <c r="I76" s="711"/>
      <c r="J76" s="711"/>
      <c r="K76" s="711"/>
      <c r="L76" s="711"/>
      <c r="M76" s="711"/>
      <c r="N76" s="711"/>
      <c r="O76" s="711"/>
    </row>
    <row r="77" spans="1:15">
      <c r="A77" s="711"/>
      <c r="B77" s="711"/>
      <c r="C77" s="711"/>
      <c r="D77" s="711"/>
      <c r="E77" s="711"/>
      <c r="F77" s="711"/>
      <c r="G77" s="711"/>
      <c r="H77" s="711"/>
      <c r="I77" s="711"/>
      <c r="J77" s="711"/>
      <c r="K77" s="711"/>
      <c r="L77" s="711"/>
      <c r="M77" s="711"/>
      <c r="N77" s="711"/>
      <c r="O77" s="711"/>
    </row>
    <row r="78" spans="1:15">
      <c r="A78" s="711"/>
      <c r="B78" s="711"/>
      <c r="C78" s="711"/>
      <c r="D78" s="711"/>
      <c r="E78" s="711"/>
      <c r="F78" s="711"/>
      <c r="G78" s="711"/>
      <c r="H78" s="711"/>
      <c r="I78" s="711"/>
      <c r="J78" s="711"/>
      <c r="K78" s="711"/>
      <c r="L78" s="711"/>
      <c r="M78" s="711"/>
      <c r="N78" s="711"/>
      <c r="O78" s="711"/>
    </row>
    <row r="79" spans="1:15">
      <c r="A79" s="711"/>
      <c r="B79" s="711"/>
      <c r="C79" s="711"/>
      <c r="D79" s="711"/>
      <c r="E79" s="711"/>
      <c r="F79" s="711"/>
      <c r="G79" s="711"/>
      <c r="H79" s="711"/>
      <c r="I79" s="711"/>
      <c r="J79" s="711"/>
      <c r="K79" s="711"/>
      <c r="L79" s="711"/>
      <c r="M79" s="711"/>
      <c r="N79" s="711"/>
      <c r="O79" s="711"/>
    </row>
    <row r="80" spans="1:15">
      <c r="A80" s="711"/>
      <c r="B80" s="711"/>
      <c r="C80" s="711"/>
      <c r="D80" s="711"/>
      <c r="E80" s="711"/>
      <c r="F80" s="711"/>
      <c r="G80" s="711"/>
      <c r="H80" s="711"/>
      <c r="I80" s="711"/>
      <c r="J80" s="711"/>
      <c r="K80" s="711"/>
      <c r="L80" s="711"/>
      <c r="M80" s="711"/>
      <c r="N80" s="711"/>
      <c r="O80" s="711"/>
    </row>
    <row r="81" spans="1:15">
      <c r="A81" s="711"/>
      <c r="B81" s="711"/>
      <c r="C81" s="711"/>
      <c r="D81" s="711"/>
      <c r="E81" s="711"/>
      <c r="F81" s="711"/>
      <c r="G81" s="711"/>
      <c r="H81" s="711"/>
      <c r="I81" s="711"/>
      <c r="J81" s="711"/>
      <c r="K81" s="711"/>
      <c r="L81" s="711"/>
      <c r="M81" s="711"/>
      <c r="N81" s="711"/>
      <c r="O81" s="711"/>
    </row>
    <row r="82" spans="1:15">
      <c r="A82" s="711"/>
      <c r="B82" s="711"/>
      <c r="C82" s="711"/>
      <c r="D82" s="711"/>
      <c r="E82" s="711"/>
      <c r="F82" s="711"/>
      <c r="G82" s="711"/>
      <c r="H82" s="711"/>
      <c r="I82" s="711"/>
      <c r="J82" s="711"/>
      <c r="K82" s="711"/>
      <c r="L82" s="711"/>
      <c r="M82" s="711"/>
      <c r="N82" s="711"/>
      <c r="O82" s="711"/>
    </row>
    <row r="83" spans="1:15">
      <c r="A83" s="711"/>
      <c r="B83" s="711"/>
      <c r="C83" s="711"/>
      <c r="D83" s="711"/>
      <c r="E83" s="711"/>
      <c r="F83" s="711"/>
      <c r="G83" s="711"/>
      <c r="H83" s="711"/>
      <c r="I83" s="711"/>
      <c r="J83" s="711"/>
      <c r="K83" s="711"/>
      <c r="L83" s="711"/>
      <c r="M83" s="711"/>
      <c r="N83" s="711"/>
      <c r="O83" s="711"/>
    </row>
    <row r="84" spans="1:15">
      <c r="A84" s="711"/>
      <c r="B84" s="711"/>
      <c r="C84" s="711"/>
      <c r="D84" s="711"/>
      <c r="E84" s="711"/>
      <c r="F84" s="711"/>
      <c r="G84" s="711"/>
      <c r="H84" s="711"/>
      <c r="I84" s="711"/>
      <c r="J84" s="711"/>
      <c r="K84" s="711"/>
      <c r="L84" s="711"/>
      <c r="M84" s="711"/>
      <c r="N84" s="711"/>
      <c r="O84" s="711"/>
    </row>
    <row r="85" spans="1:15">
      <c r="A85" s="711"/>
      <c r="B85" s="711"/>
      <c r="C85" s="711"/>
      <c r="D85" s="711"/>
      <c r="E85" s="711"/>
      <c r="F85" s="711"/>
      <c r="G85" s="711"/>
      <c r="H85" s="711"/>
      <c r="I85" s="711"/>
      <c r="J85" s="711"/>
      <c r="K85" s="711"/>
      <c r="L85" s="711"/>
      <c r="M85" s="711"/>
      <c r="N85" s="711"/>
      <c r="O85" s="711"/>
    </row>
    <row r="86" spans="1:15">
      <c r="A86" s="711"/>
      <c r="B86" s="711"/>
      <c r="C86" s="711"/>
      <c r="D86" s="711"/>
      <c r="E86" s="711"/>
      <c r="F86" s="711"/>
      <c r="G86" s="711"/>
      <c r="H86" s="711"/>
      <c r="I86" s="711"/>
      <c r="J86" s="711"/>
      <c r="K86" s="711"/>
      <c r="L86" s="711"/>
      <c r="M86" s="711"/>
      <c r="N86" s="711"/>
      <c r="O86" s="711"/>
    </row>
    <row r="87" spans="1:15">
      <c r="A87" s="711"/>
      <c r="B87" s="711"/>
      <c r="C87" s="711"/>
      <c r="D87" s="711"/>
      <c r="E87" s="711"/>
      <c r="F87" s="711"/>
      <c r="G87" s="711"/>
      <c r="H87" s="711"/>
      <c r="I87" s="711"/>
      <c r="J87" s="711"/>
      <c r="K87" s="711"/>
      <c r="L87" s="711"/>
      <c r="M87" s="711"/>
      <c r="N87" s="711"/>
      <c r="O87" s="711"/>
    </row>
    <row r="88" spans="1:15">
      <c r="A88" s="711"/>
      <c r="B88" s="711"/>
      <c r="C88" s="711"/>
      <c r="D88" s="711"/>
      <c r="E88" s="711"/>
      <c r="F88" s="711"/>
      <c r="G88" s="711"/>
      <c r="H88" s="711"/>
      <c r="I88" s="711"/>
      <c r="J88" s="711"/>
      <c r="K88" s="711"/>
      <c r="L88" s="711"/>
      <c r="M88" s="711"/>
      <c r="N88" s="711"/>
      <c r="O88" s="711"/>
    </row>
    <row r="89" spans="1:15">
      <c r="A89" s="711"/>
      <c r="B89" s="711"/>
      <c r="C89" s="711"/>
      <c r="D89" s="711"/>
      <c r="E89" s="711"/>
      <c r="F89" s="711"/>
      <c r="G89" s="711"/>
      <c r="H89" s="711"/>
      <c r="I89" s="711"/>
      <c r="J89" s="711"/>
      <c r="K89" s="711"/>
      <c r="L89" s="711"/>
      <c r="M89" s="711"/>
      <c r="N89" s="711"/>
      <c r="O89" s="711"/>
    </row>
    <row r="90" spans="1:15">
      <c r="A90" s="711"/>
      <c r="B90" s="711"/>
      <c r="C90" s="711"/>
      <c r="D90" s="711"/>
      <c r="E90" s="711"/>
      <c r="F90" s="711"/>
      <c r="G90" s="711"/>
      <c r="H90" s="711"/>
      <c r="I90" s="711"/>
      <c r="J90" s="711"/>
      <c r="K90" s="711"/>
      <c r="L90" s="711"/>
      <c r="M90" s="711"/>
      <c r="N90" s="711"/>
      <c r="O90" s="711"/>
    </row>
    <row r="91" spans="1:15">
      <c r="A91" s="711"/>
      <c r="B91" s="711"/>
      <c r="C91" s="711"/>
      <c r="D91" s="711"/>
      <c r="E91" s="711"/>
      <c r="F91" s="711"/>
      <c r="G91" s="711"/>
      <c r="H91" s="711"/>
      <c r="I91" s="711"/>
      <c r="J91" s="711"/>
      <c r="K91" s="711"/>
      <c r="L91" s="711"/>
      <c r="M91" s="711"/>
      <c r="N91" s="711"/>
      <c r="O91" s="711"/>
    </row>
    <row r="92" spans="1:15">
      <c r="A92" s="711"/>
      <c r="B92" s="711"/>
      <c r="C92" s="711"/>
      <c r="D92" s="711"/>
      <c r="E92" s="711"/>
      <c r="F92" s="711"/>
      <c r="G92" s="711"/>
      <c r="H92" s="711"/>
      <c r="I92" s="711"/>
      <c r="J92" s="711"/>
      <c r="K92" s="711"/>
      <c r="L92" s="711"/>
      <c r="M92" s="711"/>
      <c r="N92" s="711"/>
      <c r="O92" s="711"/>
    </row>
    <row r="93" spans="1:15">
      <c r="A93" s="711"/>
      <c r="B93" s="711"/>
      <c r="C93" s="711"/>
      <c r="D93" s="711"/>
      <c r="E93" s="711"/>
      <c r="F93" s="711"/>
      <c r="G93" s="711"/>
      <c r="H93" s="711"/>
      <c r="I93" s="711"/>
      <c r="J93" s="711"/>
      <c r="K93" s="711"/>
      <c r="L93" s="711"/>
      <c r="M93" s="711"/>
      <c r="N93" s="711"/>
      <c r="O93" s="711"/>
    </row>
    <row r="94" spans="1:15">
      <c r="A94" s="711"/>
      <c r="B94" s="711"/>
      <c r="C94" s="711"/>
      <c r="D94" s="711"/>
      <c r="E94" s="711"/>
      <c r="F94" s="711"/>
      <c r="G94" s="711"/>
      <c r="H94" s="711"/>
      <c r="I94" s="711"/>
      <c r="J94" s="711"/>
      <c r="K94" s="711"/>
      <c r="L94" s="711"/>
      <c r="M94" s="711"/>
      <c r="N94" s="711"/>
      <c r="O94" s="711"/>
    </row>
    <row r="95" spans="1:15">
      <c r="A95" s="711"/>
      <c r="B95" s="711"/>
      <c r="C95" s="711"/>
      <c r="D95" s="711"/>
      <c r="E95" s="711"/>
      <c r="F95" s="711"/>
      <c r="G95" s="711"/>
      <c r="H95" s="711"/>
      <c r="I95" s="711"/>
      <c r="J95" s="711"/>
      <c r="K95" s="711"/>
      <c r="L95" s="711"/>
      <c r="M95" s="711"/>
      <c r="N95" s="711"/>
      <c r="O95" s="711"/>
    </row>
    <row r="96" spans="1:15">
      <c r="A96" s="711"/>
      <c r="B96" s="711"/>
      <c r="C96" s="711"/>
      <c r="D96" s="711"/>
      <c r="E96" s="711"/>
      <c r="F96" s="711"/>
      <c r="G96" s="711"/>
      <c r="H96" s="711"/>
      <c r="I96" s="711"/>
      <c r="J96" s="711"/>
      <c r="K96" s="711"/>
      <c r="L96" s="711"/>
      <c r="M96" s="711"/>
      <c r="N96" s="711"/>
      <c r="O96" s="711"/>
    </row>
    <row r="97" spans="1:15">
      <c r="A97" s="711"/>
      <c r="B97" s="711"/>
      <c r="C97" s="711"/>
      <c r="D97" s="711"/>
      <c r="E97" s="711"/>
      <c r="F97" s="711"/>
      <c r="G97" s="711"/>
      <c r="H97" s="711"/>
      <c r="I97" s="711"/>
      <c r="J97" s="711"/>
      <c r="K97" s="711"/>
      <c r="L97" s="711"/>
      <c r="M97" s="711"/>
      <c r="N97" s="711"/>
      <c r="O97" s="711"/>
    </row>
    <row r="98" spans="1:15">
      <c r="A98" s="711"/>
      <c r="B98" s="711"/>
      <c r="C98" s="711"/>
      <c r="D98" s="711"/>
      <c r="E98" s="711"/>
      <c r="F98" s="711"/>
      <c r="G98" s="711"/>
      <c r="H98" s="711"/>
      <c r="I98" s="711"/>
      <c r="J98" s="711"/>
      <c r="K98" s="711"/>
      <c r="L98" s="711"/>
      <c r="M98" s="711"/>
      <c r="N98" s="711"/>
      <c r="O98" s="711"/>
    </row>
    <row r="99" spans="1:15">
      <c r="A99" s="711"/>
      <c r="B99" s="711"/>
      <c r="C99" s="711"/>
      <c r="D99" s="711"/>
      <c r="E99" s="711"/>
      <c r="F99" s="711"/>
      <c r="G99" s="711"/>
      <c r="H99" s="711"/>
      <c r="I99" s="711"/>
      <c r="J99" s="711"/>
      <c r="K99" s="711"/>
      <c r="L99" s="711"/>
      <c r="M99" s="711"/>
      <c r="N99" s="711"/>
      <c r="O99" s="711"/>
    </row>
    <row r="100" spans="1:15">
      <c r="A100" s="711"/>
      <c r="B100" s="711"/>
      <c r="C100" s="711"/>
      <c r="D100" s="711"/>
      <c r="E100" s="711"/>
      <c r="F100" s="711"/>
      <c r="G100" s="711"/>
      <c r="H100" s="711"/>
      <c r="I100" s="711"/>
      <c r="J100" s="711"/>
      <c r="K100" s="711"/>
      <c r="L100" s="711"/>
      <c r="M100" s="711"/>
      <c r="N100" s="711"/>
      <c r="O100" s="711"/>
    </row>
    <row r="101" spans="1:15">
      <c r="A101" s="711"/>
      <c r="B101" s="711"/>
      <c r="C101" s="711"/>
      <c r="D101" s="711"/>
      <c r="E101" s="711"/>
      <c r="F101" s="711"/>
      <c r="G101" s="711"/>
      <c r="H101" s="711"/>
      <c r="I101" s="711"/>
      <c r="J101" s="711"/>
      <c r="K101" s="711"/>
      <c r="L101" s="711"/>
      <c r="M101" s="711"/>
      <c r="N101" s="711"/>
      <c r="O101" s="711"/>
    </row>
    <row r="102" spans="1:15">
      <c r="A102" s="711"/>
      <c r="B102" s="711"/>
      <c r="C102" s="711"/>
      <c r="D102" s="711"/>
      <c r="E102" s="711"/>
      <c r="F102" s="711"/>
      <c r="G102" s="711"/>
      <c r="H102" s="711"/>
      <c r="I102" s="711"/>
      <c r="J102" s="711"/>
      <c r="K102" s="711"/>
      <c r="L102" s="711"/>
      <c r="M102" s="711"/>
      <c r="N102" s="711"/>
      <c r="O102" s="711"/>
    </row>
    <row r="103" spans="1:15">
      <c r="A103" s="711"/>
      <c r="B103" s="711"/>
      <c r="C103" s="711"/>
      <c r="D103" s="711"/>
      <c r="E103" s="711"/>
      <c r="F103" s="711"/>
      <c r="G103" s="711"/>
      <c r="H103" s="711"/>
      <c r="I103" s="711"/>
      <c r="J103" s="711"/>
      <c r="K103" s="711"/>
      <c r="L103" s="711"/>
      <c r="M103" s="711"/>
      <c r="N103" s="711"/>
      <c r="O103" s="711"/>
    </row>
    <row r="104" spans="1:15">
      <c r="A104" s="711"/>
      <c r="B104" s="711"/>
      <c r="C104" s="711"/>
      <c r="D104" s="711"/>
      <c r="E104" s="711"/>
      <c r="F104" s="711"/>
      <c r="G104" s="711"/>
      <c r="H104" s="711"/>
      <c r="I104" s="711"/>
      <c r="J104" s="711"/>
      <c r="K104" s="711"/>
      <c r="L104" s="711"/>
      <c r="M104" s="711"/>
      <c r="N104" s="711"/>
      <c r="O104" s="711"/>
    </row>
    <row r="105" spans="1:15">
      <c r="A105" s="711"/>
      <c r="B105" s="711"/>
      <c r="C105" s="711"/>
      <c r="D105" s="711"/>
      <c r="E105" s="711"/>
      <c r="F105" s="711"/>
      <c r="G105" s="711"/>
      <c r="H105" s="711"/>
      <c r="I105" s="711"/>
      <c r="J105" s="711"/>
      <c r="K105" s="711"/>
      <c r="L105" s="711"/>
      <c r="M105" s="711"/>
      <c r="N105" s="711"/>
      <c r="O105" s="711"/>
    </row>
    <row r="106" spans="1:15">
      <c r="A106" s="711"/>
      <c r="B106" s="711"/>
      <c r="C106" s="711"/>
      <c r="D106" s="711"/>
      <c r="E106" s="711"/>
      <c r="F106" s="711"/>
      <c r="G106" s="711"/>
      <c r="H106" s="711"/>
      <c r="I106" s="711"/>
      <c r="J106" s="711"/>
      <c r="K106" s="711"/>
      <c r="L106" s="711"/>
      <c r="M106" s="711"/>
      <c r="N106" s="711"/>
      <c r="O106" s="711"/>
    </row>
    <row r="107" spans="1:15">
      <c r="A107" s="711"/>
      <c r="B107" s="711"/>
      <c r="C107" s="711"/>
      <c r="D107" s="711"/>
      <c r="E107" s="711"/>
      <c r="F107" s="711"/>
      <c r="G107" s="711"/>
      <c r="H107" s="711"/>
      <c r="I107" s="711"/>
      <c r="J107" s="711"/>
      <c r="K107" s="711"/>
      <c r="L107" s="711"/>
      <c r="M107" s="711"/>
      <c r="N107" s="711"/>
      <c r="O107" s="711"/>
    </row>
    <row r="108" spans="1:15">
      <c r="A108" s="711"/>
      <c r="B108" s="711"/>
      <c r="C108" s="711"/>
      <c r="D108" s="711"/>
      <c r="E108" s="711"/>
      <c r="F108" s="711"/>
      <c r="G108" s="711"/>
      <c r="H108" s="711"/>
      <c r="I108" s="711"/>
      <c r="J108" s="711"/>
      <c r="K108" s="711"/>
      <c r="L108" s="711"/>
      <c r="M108" s="711"/>
      <c r="N108" s="711"/>
      <c r="O108" s="711"/>
    </row>
    <row r="109" spans="1:15">
      <c r="A109" s="711"/>
      <c r="B109" s="711"/>
      <c r="C109" s="711"/>
      <c r="D109" s="711"/>
      <c r="E109" s="711"/>
      <c r="F109" s="711"/>
      <c r="G109" s="711"/>
      <c r="H109" s="711"/>
      <c r="I109" s="711"/>
      <c r="J109" s="711"/>
      <c r="K109" s="711"/>
      <c r="L109" s="711"/>
      <c r="M109" s="711"/>
      <c r="N109" s="711"/>
      <c r="O109" s="711"/>
    </row>
    <row r="110" spans="1:15">
      <c r="A110" s="711"/>
      <c r="B110" s="711"/>
      <c r="C110" s="711"/>
      <c r="D110" s="711"/>
      <c r="E110" s="711"/>
      <c r="F110" s="711"/>
      <c r="G110" s="711"/>
      <c r="H110" s="711"/>
      <c r="I110" s="711"/>
      <c r="J110" s="711"/>
      <c r="K110" s="711"/>
      <c r="L110" s="711"/>
      <c r="M110" s="711"/>
      <c r="N110" s="711"/>
      <c r="O110" s="711"/>
    </row>
    <row r="111" spans="1:15">
      <c r="A111" s="711"/>
      <c r="B111" s="711"/>
      <c r="C111" s="711"/>
      <c r="D111" s="711"/>
      <c r="E111" s="711"/>
      <c r="F111" s="711"/>
      <c r="G111" s="711"/>
      <c r="H111" s="711"/>
      <c r="I111" s="711"/>
      <c r="J111" s="711"/>
      <c r="K111" s="711"/>
      <c r="L111" s="711"/>
      <c r="M111" s="711"/>
      <c r="N111" s="711"/>
      <c r="O111" s="711"/>
    </row>
    <row r="112" spans="1:15">
      <c r="A112" s="711"/>
      <c r="B112" s="711"/>
      <c r="C112" s="711"/>
      <c r="D112" s="711"/>
      <c r="E112" s="711"/>
      <c r="F112" s="711"/>
      <c r="G112" s="711"/>
      <c r="H112" s="711"/>
      <c r="I112" s="711"/>
      <c r="J112" s="711"/>
      <c r="K112" s="711"/>
      <c r="L112" s="711"/>
      <c r="M112" s="711"/>
      <c r="N112" s="711"/>
      <c r="O112" s="711"/>
    </row>
    <row r="113" spans="1:15">
      <c r="A113" s="711"/>
      <c r="B113" s="711"/>
      <c r="C113" s="711"/>
      <c r="D113" s="711"/>
      <c r="E113" s="711"/>
      <c r="F113" s="711"/>
      <c r="G113" s="711"/>
      <c r="H113" s="711"/>
      <c r="I113" s="711"/>
      <c r="J113" s="711"/>
      <c r="K113" s="711"/>
      <c r="L113" s="711"/>
      <c r="M113" s="711"/>
      <c r="N113" s="711"/>
      <c r="O113" s="711"/>
    </row>
    <row r="114" spans="1:15">
      <c r="A114" s="711"/>
      <c r="B114" s="711"/>
      <c r="C114" s="711"/>
      <c r="D114" s="711"/>
      <c r="E114" s="711"/>
      <c r="F114" s="711"/>
      <c r="G114" s="711"/>
      <c r="H114" s="711"/>
      <c r="I114" s="711"/>
      <c r="J114" s="711"/>
      <c r="K114" s="711"/>
      <c r="L114" s="711"/>
      <c r="M114" s="711"/>
      <c r="N114" s="711"/>
      <c r="O114" s="711"/>
    </row>
    <row r="115" spans="1:15">
      <c r="A115" s="711"/>
      <c r="B115" s="711"/>
      <c r="C115" s="711"/>
      <c r="D115" s="711"/>
      <c r="E115" s="711"/>
      <c r="F115" s="711"/>
      <c r="G115" s="711"/>
      <c r="H115" s="711"/>
      <c r="I115" s="711"/>
      <c r="J115" s="711"/>
      <c r="K115" s="711"/>
      <c r="L115" s="711"/>
      <c r="M115" s="711"/>
      <c r="N115" s="711"/>
      <c r="O115" s="711"/>
    </row>
    <row r="116" spans="1:15">
      <c r="A116" s="711"/>
      <c r="B116" s="711"/>
      <c r="C116" s="711"/>
      <c r="D116" s="711"/>
      <c r="E116" s="711"/>
      <c r="F116" s="711"/>
      <c r="G116" s="711"/>
      <c r="H116" s="711"/>
      <c r="I116" s="711"/>
      <c r="J116" s="711"/>
      <c r="K116" s="711"/>
      <c r="L116" s="711"/>
      <c r="M116" s="711"/>
      <c r="N116" s="711"/>
      <c r="O116" s="711"/>
    </row>
    <row r="117" spans="1:15">
      <c r="A117" s="711"/>
      <c r="B117" s="711"/>
      <c r="C117" s="711"/>
      <c r="D117" s="711"/>
      <c r="E117" s="711"/>
      <c r="F117" s="711"/>
      <c r="G117" s="711"/>
      <c r="H117" s="711"/>
      <c r="I117" s="711"/>
      <c r="J117" s="711"/>
      <c r="K117" s="711"/>
      <c r="L117" s="711"/>
      <c r="M117" s="711"/>
      <c r="N117" s="711"/>
      <c r="O117" s="711"/>
    </row>
    <row r="118" spans="1:15">
      <c r="A118" s="711"/>
      <c r="B118" s="711"/>
      <c r="C118" s="711"/>
      <c r="D118" s="711"/>
      <c r="E118" s="711"/>
      <c r="F118" s="711"/>
      <c r="G118" s="711"/>
      <c r="H118" s="711"/>
      <c r="I118" s="711"/>
      <c r="J118" s="711"/>
      <c r="K118" s="711"/>
      <c r="L118" s="711"/>
      <c r="M118" s="711"/>
      <c r="N118" s="711"/>
      <c r="O118" s="711"/>
    </row>
    <row r="119" spans="1:15">
      <c r="A119" s="711"/>
      <c r="B119" s="711"/>
      <c r="C119" s="711"/>
      <c r="D119" s="711"/>
      <c r="E119" s="711"/>
      <c r="F119" s="711"/>
      <c r="G119" s="711"/>
      <c r="H119" s="711"/>
      <c r="I119" s="711"/>
      <c r="J119" s="711"/>
      <c r="K119" s="711"/>
      <c r="L119" s="711"/>
      <c r="M119" s="711"/>
      <c r="N119" s="711"/>
      <c r="O119" s="711"/>
    </row>
    <row r="120" spans="1:15">
      <c r="A120" s="711"/>
      <c r="B120" s="711"/>
      <c r="C120" s="711"/>
      <c r="D120" s="711"/>
      <c r="E120" s="711"/>
      <c r="F120" s="711"/>
      <c r="G120" s="711"/>
      <c r="H120" s="711"/>
      <c r="I120" s="711"/>
      <c r="J120" s="711"/>
      <c r="K120" s="711"/>
      <c r="L120" s="711"/>
      <c r="M120" s="711"/>
      <c r="N120" s="711"/>
      <c r="O120" s="711"/>
    </row>
    <row r="121" spans="1:15">
      <c r="A121" s="711"/>
      <c r="B121" s="711"/>
      <c r="C121" s="711"/>
      <c r="D121" s="711"/>
      <c r="E121" s="711"/>
      <c r="F121" s="711"/>
      <c r="G121" s="711"/>
      <c r="H121" s="711"/>
      <c r="I121" s="711"/>
      <c r="J121" s="711"/>
      <c r="K121" s="711"/>
      <c r="L121" s="711"/>
      <c r="M121" s="711"/>
      <c r="N121" s="711"/>
      <c r="O121" s="711"/>
    </row>
    <row r="122" spans="1:15">
      <c r="A122" s="711"/>
      <c r="B122" s="711"/>
      <c r="C122" s="711"/>
      <c r="D122" s="711"/>
      <c r="E122" s="711"/>
      <c r="F122" s="711"/>
      <c r="G122" s="711"/>
      <c r="H122" s="711"/>
      <c r="I122" s="711"/>
      <c r="J122" s="711"/>
      <c r="K122" s="711"/>
      <c r="L122" s="711"/>
      <c r="M122" s="711"/>
      <c r="N122" s="711"/>
      <c r="O122" s="711"/>
    </row>
    <row r="123" spans="1:15">
      <c r="A123" s="711"/>
      <c r="B123" s="711"/>
      <c r="C123" s="711"/>
      <c r="D123" s="711"/>
      <c r="E123" s="711"/>
      <c r="F123" s="711"/>
      <c r="G123" s="711"/>
      <c r="H123" s="711"/>
      <c r="I123" s="711"/>
      <c r="J123" s="711"/>
      <c r="K123" s="711"/>
      <c r="L123" s="711"/>
      <c r="M123" s="711"/>
      <c r="N123" s="711"/>
      <c r="O123" s="711"/>
    </row>
    <row r="124" spans="1:15">
      <c r="A124" s="711"/>
      <c r="B124" s="711"/>
      <c r="C124" s="711"/>
      <c r="D124" s="711"/>
      <c r="E124" s="711"/>
      <c r="F124" s="711"/>
      <c r="G124" s="711"/>
      <c r="H124" s="711"/>
      <c r="I124" s="711"/>
      <c r="J124" s="711"/>
      <c r="K124" s="711"/>
      <c r="L124" s="711"/>
      <c r="M124" s="711"/>
      <c r="N124" s="711"/>
      <c r="O124" s="711"/>
    </row>
    <row r="125" spans="1:15">
      <c r="A125" s="711"/>
      <c r="B125" s="711"/>
      <c r="C125" s="711"/>
      <c r="D125" s="711"/>
      <c r="E125" s="711"/>
      <c r="F125" s="711"/>
      <c r="G125" s="711"/>
      <c r="H125" s="711"/>
      <c r="I125" s="711"/>
      <c r="J125" s="711"/>
      <c r="K125" s="711"/>
      <c r="L125" s="711"/>
      <c r="M125" s="711"/>
      <c r="N125" s="711"/>
      <c r="O125" s="711"/>
    </row>
    <row r="126" spans="1:15">
      <c r="A126" s="711"/>
      <c r="B126" s="711"/>
      <c r="C126" s="711"/>
      <c r="D126" s="711"/>
      <c r="E126" s="711"/>
      <c r="F126" s="711"/>
      <c r="G126" s="711"/>
      <c r="H126" s="711"/>
      <c r="I126" s="711"/>
      <c r="J126" s="711"/>
      <c r="K126" s="711"/>
      <c r="L126" s="711"/>
      <c r="M126" s="711"/>
      <c r="N126" s="711"/>
      <c r="O126" s="711"/>
    </row>
    <row r="127" spans="1:15">
      <c r="A127" s="711"/>
      <c r="B127" s="711"/>
      <c r="C127" s="711"/>
      <c r="D127" s="711"/>
      <c r="E127" s="711"/>
      <c r="F127" s="711"/>
      <c r="G127" s="711"/>
      <c r="H127" s="711"/>
      <c r="I127" s="711"/>
      <c r="J127" s="711"/>
      <c r="K127" s="711"/>
      <c r="L127" s="711"/>
      <c r="M127" s="711"/>
      <c r="N127" s="711"/>
      <c r="O127" s="711"/>
    </row>
    <row r="128" spans="1:15">
      <c r="A128" s="711"/>
      <c r="B128" s="711"/>
      <c r="C128" s="711"/>
      <c r="D128" s="711"/>
      <c r="E128" s="711"/>
      <c r="F128" s="711"/>
      <c r="G128" s="711"/>
      <c r="H128" s="711"/>
      <c r="I128" s="711"/>
      <c r="J128" s="711"/>
      <c r="K128" s="711"/>
      <c r="L128" s="711"/>
      <c r="M128" s="711"/>
      <c r="N128" s="711"/>
      <c r="O128" s="711"/>
    </row>
    <row r="129" spans="1:15">
      <c r="A129" s="711"/>
      <c r="B129" s="711"/>
      <c r="C129" s="711"/>
      <c r="D129" s="711"/>
      <c r="E129" s="711"/>
      <c r="F129" s="711"/>
      <c r="G129" s="711"/>
      <c r="H129" s="711"/>
      <c r="I129" s="711"/>
      <c r="J129" s="711"/>
      <c r="K129" s="711"/>
      <c r="L129" s="711"/>
      <c r="M129" s="711"/>
      <c r="N129" s="711"/>
      <c r="O129" s="711"/>
    </row>
    <row r="130" spans="1:15">
      <c r="A130" s="711"/>
      <c r="B130" s="711"/>
      <c r="C130" s="711"/>
      <c r="D130" s="711"/>
      <c r="E130" s="711"/>
      <c r="F130" s="711"/>
      <c r="G130" s="711"/>
      <c r="H130" s="711"/>
      <c r="I130" s="711"/>
      <c r="J130" s="711"/>
      <c r="K130" s="711"/>
      <c r="L130" s="711"/>
      <c r="M130" s="711"/>
      <c r="N130" s="711"/>
      <c r="O130" s="711"/>
    </row>
    <row r="131" spans="1:15">
      <c r="A131" s="711"/>
      <c r="B131" s="711"/>
      <c r="C131" s="711"/>
      <c r="D131" s="711"/>
      <c r="E131" s="711"/>
      <c r="F131" s="711"/>
      <c r="G131" s="711"/>
      <c r="H131" s="711"/>
      <c r="I131" s="711"/>
      <c r="J131" s="711"/>
      <c r="K131" s="711"/>
      <c r="L131" s="711"/>
      <c r="M131" s="711"/>
      <c r="N131" s="711"/>
      <c r="O131" s="711"/>
    </row>
    <row r="132" spans="1:15">
      <c r="A132" s="711"/>
      <c r="B132" s="711"/>
      <c r="C132" s="711"/>
      <c r="D132" s="711"/>
      <c r="E132" s="711"/>
      <c r="F132" s="711"/>
      <c r="G132" s="711"/>
      <c r="H132" s="711"/>
      <c r="I132" s="711"/>
      <c r="J132" s="711"/>
      <c r="K132" s="711"/>
      <c r="L132" s="711"/>
      <c r="M132" s="711"/>
      <c r="N132" s="711"/>
      <c r="O132" s="711"/>
    </row>
    <row r="133" spans="1:15">
      <c r="A133" s="711"/>
      <c r="B133" s="711"/>
      <c r="C133" s="711"/>
      <c r="D133" s="711"/>
      <c r="E133" s="711"/>
      <c r="F133" s="711"/>
      <c r="G133" s="711"/>
      <c r="H133" s="711"/>
      <c r="I133" s="711"/>
      <c r="J133" s="711"/>
      <c r="K133" s="711"/>
      <c r="L133" s="711"/>
      <c r="M133" s="711"/>
      <c r="N133" s="711"/>
      <c r="O133" s="711"/>
    </row>
    <row r="134" spans="1:15">
      <c r="A134" s="711"/>
      <c r="B134" s="711"/>
      <c r="C134" s="711"/>
      <c r="D134" s="711"/>
      <c r="E134" s="711"/>
      <c r="F134" s="711"/>
      <c r="G134" s="711"/>
      <c r="H134" s="711"/>
      <c r="I134" s="711"/>
      <c r="J134" s="711"/>
      <c r="K134" s="711"/>
      <c r="L134" s="711"/>
      <c r="M134" s="711"/>
      <c r="N134" s="711"/>
      <c r="O134" s="711"/>
    </row>
    <row r="135" spans="1:15">
      <c r="A135" s="711"/>
      <c r="B135" s="711"/>
      <c r="C135" s="711"/>
      <c r="D135" s="711"/>
      <c r="E135" s="711"/>
      <c r="F135" s="711"/>
      <c r="G135" s="711"/>
      <c r="H135" s="711"/>
      <c r="I135" s="711"/>
      <c r="J135" s="711"/>
      <c r="K135" s="711"/>
      <c r="L135" s="711"/>
      <c r="M135" s="711"/>
      <c r="N135" s="711"/>
      <c r="O135" s="711"/>
    </row>
    <row r="136" spans="1:15">
      <c r="A136" s="711"/>
      <c r="B136" s="711"/>
      <c r="C136" s="711"/>
      <c r="D136" s="711"/>
      <c r="E136" s="711"/>
      <c r="F136" s="711"/>
      <c r="G136" s="711"/>
      <c r="H136" s="711"/>
      <c r="I136" s="711"/>
      <c r="J136" s="711"/>
      <c r="K136" s="711"/>
      <c r="L136" s="711"/>
      <c r="M136" s="711"/>
      <c r="N136" s="711"/>
      <c r="O136" s="711"/>
    </row>
    <row r="137" spans="1:15">
      <c r="A137" s="711"/>
      <c r="B137" s="711"/>
      <c r="C137" s="711"/>
      <c r="D137" s="711"/>
      <c r="E137" s="711"/>
      <c r="F137" s="711"/>
      <c r="G137" s="711"/>
      <c r="H137" s="711"/>
      <c r="I137" s="711"/>
      <c r="J137" s="711"/>
      <c r="K137" s="711"/>
      <c r="L137" s="711"/>
      <c r="M137" s="711"/>
      <c r="N137" s="711"/>
      <c r="O137" s="711"/>
    </row>
    <row r="138" spans="1:15">
      <c r="A138" s="711"/>
      <c r="B138" s="711"/>
      <c r="C138" s="711"/>
      <c r="D138" s="711"/>
      <c r="E138" s="711"/>
      <c r="F138" s="711"/>
      <c r="G138" s="711"/>
      <c r="H138" s="711"/>
      <c r="I138" s="711"/>
      <c r="J138" s="711"/>
      <c r="K138" s="711"/>
      <c r="L138" s="711"/>
      <c r="M138" s="711"/>
      <c r="N138" s="711"/>
      <c r="O138" s="711"/>
    </row>
    <row r="139" spans="1:15">
      <c r="A139" s="711"/>
      <c r="B139" s="711"/>
      <c r="C139" s="711"/>
      <c r="D139" s="711"/>
      <c r="E139" s="711"/>
      <c r="F139" s="711"/>
      <c r="G139" s="711"/>
      <c r="H139" s="711"/>
      <c r="I139" s="711"/>
      <c r="J139" s="711"/>
      <c r="K139" s="711"/>
      <c r="L139" s="711"/>
      <c r="M139" s="711"/>
      <c r="N139" s="711"/>
      <c r="O139" s="711"/>
    </row>
    <row r="140" spans="1:15">
      <c r="A140" s="711"/>
      <c r="B140" s="711"/>
      <c r="C140" s="711"/>
      <c r="D140" s="711"/>
      <c r="E140" s="711"/>
      <c r="F140" s="711"/>
      <c r="G140" s="711"/>
      <c r="H140" s="711"/>
      <c r="I140" s="711"/>
      <c r="J140" s="711"/>
      <c r="K140" s="711"/>
      <c r="L140" s="711"/>
      <c r="M140" s="711"/>
      <c r="N140" s="711"/>
      <c r="O140" s="711"/>
    </row>
    <row r="141" spans="1:15">
      <c r="A141" s="711"/>
      <c r="B141" s="711"/>
      <c r="C141" s="711"/>
      <c r="D141" s="711"/>
      <c r="E141" s="711"/>
      <c r="F141" s="711"/>
      <c r="G141" s="711"/>
      <c r="H141" s="711"/>
      <c r="I141" s="711"/>
      <c r="J141" s="711"/>
      <c r="K141" s="711"/>
      <c r="L141" s="711"/>
      <c r="M141" s="711"/>
      <c r="N141" s="711"/>
      <c r="O141" s="711"/>
    </row>
    <row r="142" spans="1:15">
      <c r="A142" s="711"/>
      <c r="B142" s="711"/>
      <c r="C142" s="711"/>
      <c r="D142" s="711"/>
      <c r="E142" s="711"/>
      <c r="F142" s="711"/>
      <c r="G142" s="711"/>
      <c r="H142" s="711"/>
      <c r="I142" s="711"/>
      <c r="J142" s="711"/>
      <c r="K142" s="711"/>
      <c r="L142" s="711"/>
      <c r="M142" s="711"/>
      <c r="N142" s="711"/>
      <c r="O142" s="711"/>
    </row>
    <row r="143" spans="1:15">
      <c r="A143" s="711"/>
      <c r="B143" s="711"/>
      <c r="C143" s="711"/>
      <c r="D143" s="711"/>
      <c r="E143" s="711"/>
      <c r="F143" s="711"/>
      <c r="G143" s="711"/>
      <c r="H143" s="711"/>
      <c r="I143" s="711"/>
      <c r="J143" s="711"/>
      <c r="K143" s="711"/>
      <c r="L143" s="711"/>
      <c r="M143" s="711"/>
      <c r="N143" s="711"/>
      <c r="O143" s="711"/>
    </row>
    <row r="144" spans="1:15">
      <c r="A144" s="711"/>
      <c r="B144" s="711"/>
      <c r="C144" s="711"/>
      <c r="D144" s="711"/>
      <c r="E144" s="711"/>
      <c r="F144" s="711"/>
      <c r="G144" s="711"/>
      <c r="H144" s="711"/>
      <c r="I144" s="711"/>
      <c r="J144" s="711"/>
      <c r="K144" s="711"/>
      <c r="L144" s="711"/>
      <c r="M144" s="711"/>
      <c r="N144" s="711"/>
      <c r="O144" s="711"/>
    </row>
    <row r="145" spans="1:15">
      <c r="A145" s="711"/>
      <c r="B145" s="711"/>
      <c r="C145" s="711"/>
      <c r="D145" s="711"/>
      <c r="E145" s="711"/>
      <c r="F145" s="711"/>
      <c r="G145" s="711"/>
      <c r="H145" s="711"/>
      <c r="I145" s="711"/>
      <c r="J145" s="711"/>
      <c r="K145" s="711"/>
      <c r="L145" s="711"/>
      <c r="M145" s="711"/>
      <c r="N145" s="711"/>
      <c r="O145" s="711"/>
    </row>
    <row r="146" spans="1:15">
      <c r="A146" s="711"/>
      <c r="B146" s="711"/>
      <c r="C146" s="711"/>
      <c r="D146" s="711"/>
      <c r="E146" s="711"/>
      <c r="F146" s="711"/>
      <c r="G146" s="711"/>
      <c r="H146" s="711"/>
      <c r="I146" s="711"/>
      <c r="J146" s="711"/>
      <c r="K146" s="711"/>
      <c r="L146" s="711"/>
      <c r="M146" s="711"/>
      <c r="N146" s="711"/>
      <c r="O146" s="711"/>
    </row>
    <row r="147" spans="1:15">
      <c r="A147" s="711"/>
      <c r="B147" s="711"/>
      <c r="C147" s="711"/>
      <c r="D147" s="711"/>
      <c r="E147" s="711"/>
      <c r="F147" s="711"/>
      <c r="G147" s="711"/>
      <c r="H147" s="711"/>
      <c r="I147" s="711"/>
      <c r="J147" s="711"/>
      <c r="K147" s="711"/>
      <c r="L147" s="711"/>
      <c r="M147" s="711"/>
      <c r="N147" s="711"/>
      <c r="O147" s="711"/>
    </row>
    <row r="148" spans="1:15">
      <c r="A148" s="711"/>
      <c r="B148" s="711"/>
      <c r="C148" s="711"/>
      <c r="D148" s="711"/>
      <c r="E148" s="711"/>
      <c r="F148" s="711"/>
      <c r="G148" s="711"/>
      <c r="H148" s="711"/>
      <c r="I148" s="711"/>
      <c r="J148" s="711"/>
      <c r="K148" s="711"/>
      <c r="L148" s="711"/>
      <c r="M148" s="711"/>
      <c r="N148" s="711"/>
      <c r="O148" s="711"/>
    </row>
    <row r="149" spans="1:15">
      <c r="A149" s="711"/>
      <c r="B149" s="711"/>
      <c r="C149" s="711"/>
      <c r="D149" s="711"/>
      <c r="E149" s="711"/>
      <c r="F149" s="711"/>
      <c r="G149" s="711"/>
      <c r="H149" s="711"/>
      <c r="I149" s="711"/>
      <c r="J149" s="711"/>
      <c r="K149" s="711"/>
      <c r="L149" s="711"/>
      <c r="M149" s="711"/>
      <c r="N149" s="711"/>
      <c r="O149" s="711"/>
    </row>
    <row r="150" spans="1:15">
      <c r="A150" s="711"/>
      <c r="B150" s="711"/>
      <c r="C150" s="711"/>
      <c r="D150" s="711"/>
      <c r="E150" s="711"/>
      <c r="F150" s="711"/>
      <c r="G150" s="711"/>
      <c r="H150" s="711"/>
      <c r="I150" s="711"/>
      <c r="J150" s="711"/>
      <c r="K150" s="711"/>
      <c r="L150" s="711"/>
      <c r="M150" s="711"/>
      <c r="N150" s="711"/>
      <c r="O150" s="711"/>
    </row>
    <row r="151" spans="1:15">
      <c r="A151" s="711"/>
      <c r="B151" s="711"/>
      <c r="C151" s="711"/>
      <c r="D151" s="711"/>
      <c r="E151" s="711"/>
      <c r="F151" s="711"/>
      <c r="G151" s="711"/>
      <c r="H151" s="711"/>
      <c r="I151" s="711"/>
      <c r="J151" s="711"/>
      <c r="K151" s="711"/>
      <c r="L151" s="711"/>
      <c r="M151" s="711"/>
      <c r="N151" s="711"/>
      <c r="O151" s="711"/>
    </row>
    <row r="152" spans="1:15">
      <c r="A152" s="711"/>
      <c r="B152" s="711"/>
      <c r="C152" s="711"/>
      <c r="D152" s="711"/>
      <c r="E152" s="711"/>
      <c r="F152" s="711"/>
      <c r="G152" s="711"/>
      <c r="H152" s="711"/>
      <c r="I152" s="711"/>
      <c r="J152" s="711"/>
      <c r="K152" s="711"/>
      <c r="L152" s="711"/>
      <c r="M152" s="711"/>
      <c r="N152" s="711"/>
      <c r="O152" s="711"/>
    </row>
    <row r="153" spans="1:15">
      <c r="A153" s="711"/>
      <c r="B153" s="711"/>
      <c r="C153" s="711"/>
      <c r="D153" s="711"/>
      <c r="E153" s="711"/>
      <c r="F153" s="711"/>
      <c r="G153" s="711"/>
      <c r="H153" s="711"/>
      <c r="I153" s="711"/>
      <c r="J153" s="711"/>
      <c r="K153" s="711"/>
      <c r="L153" s="711"/>
      <c r="M153" s="711"/>
      <c r="N153" s="711"/>
      <c r="O153" s="711"/>
    </row>
    <row r="154" spans="1:15">
      <c r="A154" s="711"/>
      <c r="B154" s="711"/>
      <c r="C154" s="711"/>
      <c r="D154" s="711"/>
      <c r="E154" s="711"/>
      <c r="F154" s="711"/>
      <c r="G154" s="711"/>
      <c r="H154" s="711"/>
      <c r="I154" s="711"/>
      <c r="J154" s="711"/>
      <c r="K154" s="711"/>
      <c r="L154" s="711"/>
      <c r="M154" s="711"/>
      <c r="N154" s="711"/>
      <c r="O154" s="711"/>
    </row>
    <row r="155" spans="1:15">
      <c r="A155" s="711"/>
      <c r="B155" s="711"/>
      <c r="C155" s="711"/>
      <c r="D155" s="711"/>
      <c r="E155" s="711"/>
      <c r="F155" s="711"/>
      <c r="G155" s="711"/>
      <c r="H155" s="711"/>
      <c r="I155" s="711"/>
      <c r="J155" s="711"/>
      <c r="K155" s="711"/>
      <c r="L155" s="711"/>
      <c r="M155" s="711"/>
      <c r="N155" s="711"/>
      <c r="O155" s="711"/>
    </row>
    <row r="156" spans="1:15">
      <c r="A156" s="711"/>
      <c r="B156" s="711"/>
      <c r="C156" s="711"/>
      <c r="D156" s="711"/>
      <c r="E156" s="711"/>
      <c r="F156" s="711"/>
      <c r="G156" s="711"/>
      <c r="H156" s="711"/>
      <c r="I156" s="711"/>
      <c r="J156" s="711"/>
      <c r="K156" s="711"/>
      <c r="L156" s="711"/>
      <c r="M156" s="711"/>
      <c r="N156" s="711"/>
      <c r="O156" s="711"/>
    </row>
    <row r="157" spans="1:15">
      <c r="A157" s="711"/>
      <c r="B157" s="711"/>
      <c r="C157" s="711"/>
      <c r="D157" s="711"/>
      <c r="E157" s="711"/>
      <c r="F157" s="711"/>
      <c r="G157" s="711"/>
      <c r="H157" s="711"/>
      <c r="I157" s="711"/>
      <c r="J157" s="711"/>
      <c r="K157" s="711"/>
      <c r="L157" s="711"/>
      <c r="M157" s="711"/>
      <c r="N157" s="711"/>
      <c r="O157" s="711"/>
    </row>
    <row r="158" spans="1:15">
      <c r="A158" s="711"/>
      <c r="B158" s="711"/>
      <c r="C158" s="711"/>
      <c r="D158" s="711"/>
      <c r="E158" s="711"/>
      <c r="F158" s="711"/>
      <c r="G158" s="711"/>
      <c r="H158" s="711"/>
      <c r="I158" s="711"/>
      <c r="J158" s="711"/>
      <c r="K158" s="711"/>
      <c r="L158" s="711"/>
      <c r="M158" s="711"/>
      <c r="N158" s="711"/>
      <c r="O158" s="711"/>
    </row>
    <row r="159" spans="1:15">
      <c r="A159" s="711"/>
      <c r="B159" s="711"/>
      <c r="C159" s="711"/>
      <c r="D159" s="711"/>
      <c r="E159" s="711"/>
      <c r="F159" s="711"/>
      <c r="G159" s="711"/>
      <c r="H159" s="711"/>
      <c r="I159" s="711"/>
      <c r="J159" s="711"/>
      <c r="K159" s="711"/>
      <c r="L159" s="711"/>
      <c r="M159" s="711"/>
      <c r="N159" s="711"/>
      <c r="O159" s="711"/>
    </row>
    <row r="160" spans="1:15">
      <c r="A160" s="711"/>
      <c r="B160" s="711"/>
      <c r="C160" s="711"/>
      <c r="D160" s="711"/>
      <c r="E160" s="711"/>
      <c r="F160" s="711"/>
      <c r="G160" s="711"/>
      <c r="H160" s="711"/>
      <c r="I160" s="711"/>
      <c r="J160" s="711"/>
      <c r="K160" s="711"/>
      <c r="L160" s="711"/>
      <c r="M160" s="711"/>
      <c r="N160" s="711"/>
      <c r="O160" s="711"/>
    </row>
    <row r="161" spans="1:15">
      <c r="A161" s="711"/>
      <c r="B161" s="711"/>
      <c r="C161" s="711"/>
      <c r="D161" s="711"/>
      <c r="E161" s="711"/>
      <c r="F161" s="711"/>
      <c r="G161" s="711"/>
      <c r="H161" s="711"/>
      <c r="I161" s="711"/>
      <c r="J161" s="711"/>
      <c r="K161" s="711"/>
      <c r="L161" s="711"/>
      <c r="M161" s="711"/>
      <c r="N161" s="711"/>
      <c r="O161" s="711"/>
    </row>
    <row r="162" spans="1:15">
      <c r="A162" s="711"/>
      <c r="B162" s="711"/>
      <c r="C162" s="711"/>
      <c r="D162" s="711"/>
      <c r="E162" s="711"/>
      <c r="F162" s="711"/>
      <c r="G162" s="711"/>
      <c r="H162" s="711"/>
      <c r="I162" s="711"/>
      <c r="J162" s="711"/>
      <c r="K162" s="711"/>
      <c r="L162" s="711"/>
      <c r="M162" s="711"/>
      <c r="N162" s="711"/>
      <c r="O162" s="711"/>
    </row>
    <row r="163" spans="1:15">
      <c r="A163" s="711"/>
      <c r="B163" s="711"/>
      <c r="C163" s="711"/>
      <c r="D163" s="711"/>
      <c r="E163" s="711"/>
      <c r="F163" s="711"/>
      <c r="G163" s="711"/>
      <c r="H163" s="711"/>
      <c r="I163" s="711"/>
      <c r="J163" s="711"/>
      <c r="K163" s="711"/>
      <c r="L163" s="711"/>
      <c r="M163" s="711"/>
      <c r="N163" s="711"/>
      <c r="O163" s="711"/>
    </row>
    <row r="164" spans="1:15">
      <c r="A164" s="711"/>
      <c r="B164" s="711"/>
      <c r="C164" s="711"/>
      <c r="D164" s="711"/>
      <c r="E164" s="711"/>
      <c r="F164" s="711"/>
      <c r="G164" s="711"/>
      <c r="H164" s="711"/>
      <c r="I164" s="711"/>
      <c r="J164" s="711"/>
      <c r="K164" s="711"/>
      <c r="L164" s="711"/>
      <c r="M164" s="711"/>
      <c r="N164" s="711"/>
      <c r="O164" s="711"/>
    </row>
    <row r="165" spans="1:15">
      <c r="A165" s="711"/>
      <c r="B165" s="711"/>
      <c r="C165" s="711"/>
      <c r="D165" s="711"/>
      <c r="E165" s="711"/>
      <c r="F165" s="711"/>
      <c r="G165" s="711"/>
      <c r="H165" s="711"/>
      <c r="I165" s="711"/>
      <c r="J165" s="711"/>
      <c r="K165" s="711"/>
      <c r="L165" s="711"/>
      <c r="M165" s="711"/>
      <c r="N165" s="711"/>
      <c r="O165" s="711"/>
    </row>
    <row r="166" spans="1:15">
      <c r="A166" s="711"/>
      <c r="B166" s="711"/>
      <c r="C166" s="711"/>
      <c r="D166" s="711"/>
      <c r="E166" s="711"/>
      <c r="F166" s="711"/>
      <c r="G166" s="711"/>
      <c r="H166" s="711"/>
      <c r="I166" s="711"/>
      <c r="J166" s="711"/>
      <c r="K166" s="711"/>
      <c r="L166" s="711"/>
      <c r="M166" s="711"/>
      <c r="N166" s="711"/>
      <c r="O166" s="711"/>
    </row>
    <row r="167" spans="1:15">
      <c r="A167" s="711"/>
      <c r="B167" s="711"/>
      <c r="C167" s="711"/>
      <c r="D167" s="711"/>
      <c r="E167" s="711"/>
      <c r="F167" s="711"/>
      <c r="G167" s="711"/>
      <c r="H167" s="711"/>
      <c r="I167" s="711"/>
      <c r="J167" s="711"/>
      <c r="K167" s="711"/>
      <c r="L167" s="711"/>
      <c r="M167" s="711"/>
      <c r="N167" s="711"/>
      <c r="O167" s="711"/>
    </row>
    <row r="168" spans="1:15">
      <c r="A168" s="711"/>
      <c r="B168" s="711"/>
      <c r="C168" s="711"/>
      <c r="D168" s="711"/>
      <c r="E168" s="711"/>
      <c r="F168" s="711"/>
      <c r="G168" s="711"/>
      <c r="H168" s="711"/>
      <c r="I168" s="711"/>
      <c r="J168" s="711"/>
      <c r="K168" s="711"/>
      <c r="L168" s="711"/>
      <c r="M168" s="711"/>
      <c r="N168" s="711"/>
      <c r="O168" s="711"/>
    </row>
    <row r="169" spans="1:15">
      <c r="A169" s="711"/>
      <c r="B169" s="711"/>
      <c r="C169" s="711"/>
      <c r="D169" s="711"/>
      <c r="E169" s="711"/>
      <c r="F169" s="711"/>
      <c r="G169" s="711"/>
      <c r="H169" s="711"/>
      <c r="I169" s="711"/>
      <c r="J169" s="711"/>
      <c r="K169" s="711"/>
      <c r="L169" s="711"/>
      <c r="M169" s="711"/>
      <c r="N169" s="711"/>
      <c r="O169" s="711"/>
    </row>
    <row r="170" spans="1:15">
      <c r="A170" s="711"/>
      <c r="B170" s="711"/>
      <c r="C170" s="711"/>
      <c r="D170" s="711"/>
      <c r="E170" s="711"/>
      <c r="F170" s="711"/>
      <c r="G170" s="711"/>
      <c r="H170" s="711"/>
      <c r="I170" s="711"/>
      <c r="J170" s="711"/>
      <c r="K170" s="711"/>
      <c r="L170" s="711"/>
      <c r="M170" s="711"/>
      <c r="N170" s="711"/>
      <c r="O170" s="711"/>
    </row>
    <row r="171" spans="1:15">
      <c r="A171" s="711"/>
      <c r="B171" s="711"/>
      <c r="C171" s="711"/>
      <c r="D171" s="711"/>
      <c r="E171" s="711"/>
      <c r="F171" s="711"/>
      <c r="G171" s="711"/>
      <c r="H171" s="711"/>
      <c r="I171" s="711"/>
      <c r="J171" s="711"/>
      <c r="K171" s="711"/>
      <c r="L171" s="711"/>
      <c r="M171" s="711"/>
      <c r="N171" s="711"/>
      <c r="O171" s="711"/>
    </row>
    <row r="172" spans="1:15">
      <c r="A172" s="711"/>
      <c r="B172" s="711"/>
      <c r="C172" s="711"/>
      <c r="D172" s="711"/>
      <c r="E172" s="711"/>
      <c r="F172" s="711"/>
      <c r="G172" s="711"/>
      <c r="H172" s="711"/>
      <c r="I172" s="711"/>
      <c r="J172" s="711"/>
      <c r="K172" s="711"/>
      <c r="L172" s="711"/>
      <c r="M172" s="711"/>
      <c r="N172" s="711"/>
      <c r="O172" s="711"/>
    </row>
    <row r="173" spans="1:15">
      <c r="A173" s="711"/>
      <c r="B173" s="711"/>
      <c r="C173" s="711"/>
      <c r="D173" s="711"/>
      <c r="E173" s="711"/>
      <c r="F173" s="711"/>
      <c r="G173" s="711"/>
      <c r="H173" s="711"/>
      <c r="I173" s="711"/>
      <c r="J173" s="711"/>
      <c r="K173" s="711"/>
      <c r="L173" s="711"/>
      <c r="M173" s="711"/>
      <c r="N173" s="711"/>
      <c r="O173" s="711"/>
    </row>
    <row r="174" spans="1:15">
      <c r="A174" s="711"/>
      <c r="B174" s="711"/>
      <c r="C174" s="711"/>
      <c r="D174" s="711"/>
      <c r="E174" s="711"/>
      <c r="F174" s="711"/>
      <c r="G174" s="711"/>
      <c r="H174" s="711"/>
      <c r="I174" s="711"/>
      <c r="J174" s="711"/>
      <c r="K174" s="711"/>
      <c r="L174" s="711"/>
      <c r="M174" s="711"/>
      <c r="N174" s="711"/>
      <c r="O174" s="711"/>
    </row>
    <row r="175" spans="1:15">
      <c r="A175" s="711"/>
      <c r="B175" s="711"/>
      <c r="C175" s="711"/>
      <c r="D175" s="711"/>
      <c r="E175" s="711"/>
      <c r="F175" s="711"/>
      <c r="G175" s="711"/>
      <c r="H175" s="711"/>
      <c r="I175" s="711"/>
      <c r="J175" s="711"/>
      <c r="K175" s="711"/>
      <c r="L175" s="711"/>
      <c r="M175" s="711"/>
      <c r="N175" s="711"/>
      <c r="O175" s="711"/>
    </row>
    <row r="176" spans="1:15">
      <c r="A176" s="711"/>
      <c r="B176" s="711"/>
      <c r="C176" s="711"/>
      <c r="D176" s="711"/>
      <c r="E176" s="711"/>
      <c r="F176" s="711"/>
      <c r="G176" s="711"/>
      <c r="H176" s="711"/>
      <c r="I176" s="711"/>
      <c r="J176" s="711"/>
      <c r="K176" s="711"/>
      <c r="L176" s="711"/>
      <c r="M176" s="711"/>
      <c r="N176" s="711"/>
      <c r="O176" s="711"/>
    </row>
    <row r="177" spans="1:15">
      <c r="A177" s="711"/>
      <c r="B177" s="711"/>
      <c r="C177" s="711"/>
      <c r="D177" s="711"/>
      <c r="E177" s="711"/>
      <c r="F177" s="711"/>
      <c r="G177" s="711"/>
      <c r="H177" s="711"/>
      <c r="I177" s="711"/>
      <c r="J177" s="711"/>
      <c r="K177" s="711"/>
      <c r="L177" s="711"/>
      <c r="M177" s="711"/>
      <c r="N177" s="711"/>
      <c r="O177" s="711"/>
    </row>
    <row r="178" spans="1:15">
      <c r="A178" s="711"/>
      <c r="B178" s="711"/>
      <c r="C178" s="711"/>
      <c r="D178" s="711"/>
      <c r="E178" s="711"/>
      <c r="F178" s="711"/>
      <c r="G178" s="711"/>
      <c r="H178" s="711"/>
      <c r="I178" s="711"/>
      <c r="J178" s="711"/>
      <c r="K178" s="711"/>
      <c r="L178" s="711"/>
      <c r="M178" s="711"/>
      <c r="N178" s="711"/>
      <c r="O178" s="711"/>
    </row>
    <row r="179" spans="1:15">
      <c r="A179" s="711"/>
      <c r="B179" s="711"/>
      <c r="C179" s="711"/>
      <c r="D179" s="711"/>
      <c r="E179" s="711"/>
      <c r="F179" s="711"/>
      <c r="G179" s="711"/>
      <c r="H179" s="711"/>
      <c r="I179" s="711"/>
      <c r="J179" s="711"/>
      <c r="K179" s="711"/>
      <c r="L179" s="711"/>
      <c r="M179" s="711"/>
      <c r="N179" s="711"/>
      <c r="O179" s="711"/>
    </row>
    <row r="180" spans="1:15">
      <c r="A180" s="711"/>
      <c r="B180" s="711"/>
      <c r="C180" s="711"/>
      <c r="D180" s="711"/>
      <c r="E180" s="711"/>
      <c r="F180" s="711"/>
      <c r="G180" s="711"/>
      <c r="H180" s="711"/>
      <c r="I180" s="711"/>
      <c r="J180" s="711"/>
      <c r="K180" s="711"/>
      <c r="L180" s="711"/>
      <c r="M180" s="711"/>
      <c r="N180" s="711"/>
      <c r="O180" s="711"/>
    </row>
    <row r="181" spans="1:15">
      <c r="A181" s="711"/>
      <c r="B181" s="711"/>
      <c r="C181" s="711"/>
      <c r="D181" s="711"/>
      <c r="E181" s="711"/>
      <c r="F181" s="711"/>
      <c r="G181" s="711"/>
      <c r="H181" s="711"/>
      <c r="I181" s="711"/>
      <c r="J181" s="711"/>
      <c r="K181" s="711"/>
      <c r="L181" s="711"/>
      <c r="M181" s="711"/>
      <c r="N181" s="711"/>
      <c r="O181" s="711"/>
    </row>
    <row r="182" spans="1:15">
      <c r="A182" s="711"/>
      <c r="B182" s="711"/>
      <c r="C182" s="711"/>
      <c r="D182" s="711"/>
      <c r="E182" s="711"/>
      <c r="F182" s="711"/>
      <c r="G182" s="711"/>
      <c r="H182" s="711"/>
      <c r="I182" s="711"/>
      <c r="J182" s="711"/>
      <c r="K182" s="711"/>
      <c r="L182" s="711"/>
      <c r="M182" s="711"/>
      <c r="N182" s="711"/>
      <c r="O182" s="711"/>
    </row>
    <row r="183" spans="1:15">
      <c r="A183" s="711"/>
      <c r="B183" s="711"/>
      <c r="C183" s="711"/>
      <c r="D183" s="711"/>
      <c r="E183" s="711"/>
      <c r="F183" s="711"/>
      <c r="G183" s="711"/>
      <c r="H183" s="711"/>
      <c r="I183" s="711"/>
      <c r="J183" s="711"/>
      <c r="K183" s="711"/>
      <c r="L183" s="711"/>
      <c r="M183" s="711"/>
      <c r="N183" s="711"/>
      <c r="O183" s="711"/>
    </row>
    <row r="184" spans="1:15">
      <c r="A184" s="711"/>
      <c r="B184" s="711"/>
      <c r="C184" s="711"/>
      <c r="D184" s="711"/>
      <c r="E184" s="711"/>
      <c r="F184" s="711"/>
      <c r="G184" s="711"/>
      <c r="H184" s="711"/>
      <c r="I184" s="711"/>
      <c r="J184" s="711"/>
      <c r="K184" s="711"/>
      <c r="L184" s="711"/>
      <c r="M184" s="711"/>
      <c r="N184" s="711"/>
      <c r="O184" s="711"/>
    </row>
    <row r="185" spans="1:15">
      <c r="A185" s="711"/>
      <c r="B185" s="711"/>
      <c r="C185" s="711"/>
      <c r="D185" s="711"/>
      <c r="E185" s="711"/>
      <c r="F185" s="711"/>
      <c r="G185" s="711"/>
      <c r="H185" s="711"/>
      <c r="I185" s="711"/>
      <c r="J185" s="711"/>
      <c r="K185" s="711"/>
      <c r="L185" s="711"/>
      <c r="M185" s="711"/>
      <c r="N185" s="711"/>
      <c r="O185" s="711"/>
    </row>
    <row r="186" spans="1:15">
      <c r="A186" s="711"/>
      <c r="B186" s="711"/>
      <c r="C186" s="711"/>
      <c r="D186" s="711"/>
      <c r="E186" s="711"/>
      <c r="F186" s="711"/>
      <c r="G186" s="711"/>
      <c r="H186" s="711"/>
      <c r="I186" s="711"/>
      <c r="J186" s="711"/>
      <c r="K186" s="711"/>
      <c r="L186" s="711"/>
      <c r="M186" s="711"/>
      <c r="N186" s="711"/>
      <c r="O186" s="711"/>
    </row>
    <row r="187" spans="1:15">
      <c r="A187" s="711"/>
      <c r="B187" s="711"/>
      <c r="C187" s="711"/>
      <c r="D187" s="711"/>
      <c r="E187" s="711"/>
      <c r="F187" s="711"/>
      <c r="G187" s="711"/>
      <c r="H187" s="711"/>
      <c r="I187" s="711"/>
      <c r="J187" s="711"/>
      <c r="K187" s="711"/>
      <c r="L187" s="711"/>
      <c r="M187" s="711"/>
      <c r="N187" s="711"/>
      <c r="O187" s="711"/>
    </row>
    <row r="188" spans="1:15">
      <c r="A188" s="711"/>
      <c r="B188" s="711"/>
      <c r="C188" s="711"/>
      <c r="D188" s="711"/>
      <c r="E188" s="711"/>
      <c r="F188" s="711"/>
      <c r="G188" s="711"/>
      <c r="H188" s="711"/>
      <c r="I188" s="711"/>
      <c r="J188" s="711"/>
      <c r="K188" s="711"/>
      <c r="L188" s="711"/>
      <c r="M188" s="711"/>
      <c r="N188" s="711"/>
      <c r="O188" s="711"/>
    </row>
    <row r="189" spans="1:15">
      <c r="A189" s="711"/>
      <c r="B189" s="711"/>
      <c r="C189" s="711"/>
      <c r="D189" s="711"/>
      <c r="E189" s="711"/>
      <c r="F189" s="711"/>
      <c r="G189" s="711"/>
      <c r="H189" s="711"/>
      <c r="I189" s="711"/>
      <c r="J189" s="711"/>
      <c r="K189" s="711"/>
      <c r="L189" s="711"/>
      <c r="M189" s="711"/>
      <c r="N189" s="711"/>
      <c r="O189" s="711"/>
    </row>
    <row r="190" spans="1:15">
      <c r="A190" s="711"/>
      <c r="B190" s="711"/>
      <c r="C190" s="711"/>
      <c r="D190" s="711"/>
      <c r="E190" s="711"/>
      <c r="F190" s="711"/>
      <c r="G190" s="711"/>
      <c r="H190" s="711"/>
      <c r="I190" s="711"/>
      <c r="J190" s="711"/>
      <c r="K190" s="711"/>
      <c r="L190" s="711"/>
      <c r="M190" s="711"/>
      <c r="N190" s="711"/>
      <c r="O190" s="711"/>
    </row>
    <row r="191" spans="1:15">
      <c r="A191" s="711"/>
      <c r="B191" s="711"/>
      <c r="C191" s="711"/>
      <c r="D191" s="711"/>
      <c r="E191" s="711"/>
      <c r="F191" s="711"/>
      <c r="G191" s="711"/>
      <c r="H191" s="711"/>
      <c r="I191" s="711"/>
      <c r="J191" s="711"/>
      <c r="K191" s="711"/>
      <c r="L191" s="711"/>
      <c r="M191" s="711"/>
      <c r="N191" s="711"/>
      <c r="O191" s="711"/>
    </row>
    <row r="192" spans="1:15">
      <c r="A192" s="711"/>
      <c r="B192" s="711"/>
      <c r="C192" s="711"/>
      <c r="D192" s="711"/>
      <c r="E192" s="711"/>
      <c r="F192" s="711"/>
      <c r="G192" s="711"/>
      <c r="H192" s="711"/>
      <c r="I192" s="711"/>
      <c r="J192" s="711"/>
      <c r="K192" s="711"/>
      <c r="L192" s="711"/>
      <c r="M192" s="711"/>
      <c r="N192" s="711"/>
      <c r="O192" s="711"/>
    </row>
    <row r="193" spans="1:15">
      <c r="A193" s="711"/>
      <c r="B193" s="711"/>
      <c r="C193" s="711"/>
      <c r="D193" s="711"/>
      <c r="E193" s="711"/>
      <c r="F193" s="711"/>
      <c r="G193" s="711"/>
      <c r="H193" s="711"/>
      <c r="I193" s="711"/>
      <c r="J193" s="711"/>
      <c r="K193" s="711"/>
      <c r="L193" s="711"/>
      <c r="M193" s="711"/>
      <c r="N193" s="711"/>
      <c r="O193" s="711"/>
    </row>
    <row r="194" spans="1:15">
      <c r="A194" s="711"/>
      <c r="B194" s="711"/>
      <c r="C194" s="711"/>
      <c r="D194" s="711"/>
      <c r="E194" s="711"/>
      <c r="F194" s="711"/>
      <c r="G194" s="711"/>
      <c r="H194" s="711"/>
      <c r="I194" s="711"/>
      <c r="J194" s="711"/>
      <c r="K194" s="711"/>
      <c r="L194" s="711"/>
      <c r="M194" s="711"/>
      <c r="N194" s="711"/>
      <c r="O194" s="711"/>
    </row>
    <row r="195" spans="1:15">
      <c r="A195" s="711"/>
      <c r="B195" s="711"/>
      <c r="C195" s="711"/>
      <c r="D195" s="711"/>
      <c r="E195" s="711"/>
      <c r="F195" s="711"/>
      <c r="G195" s="711"/>
      <c r="H195" s="711"/>
      <c r="I195" s="711"/>
      <c r="J195" s="711"/>
      <c r="K195" s="711"/>
      <c r="L195" s="711"/>
      <c r="M195" s="711"/>
      <c r="N195" s="711"/>
      <c r="O195" s="711"/>
    </row>
    <row r="196" spans="1:15">
      <c r="A196" s="711"/>
      <c r="B196" s="711"/>
      <c r="C196" s="711"/>
      <c r="D196" s="711"/>
      <c r="E196" s="711"/>
      <c r="F196" s="711"/>
      <c r="G196" s="711"/>
      <c r="H196" s="711"/>
      <c r="I196" s="711"/>
      <c r="J196" s="711"/>
      <c r="K196" s="711"/>
      <c r="L196" s="711"/>
      <c r="M196" s="711"/>
      <c r="N196" s="711"/>
      <c r="O196" s="711"/>
    </row>
    <row r="197" spans="1:15">
      <c r="A197" s="711"/>
      <c r="B197" s="711"/>
      <c r="C197" s="711"/>
      <c r="D197" s="711"/>
      <c r="E197" s="711"/>
      <c r="F197" s="711"/>
      <c r="G197" s="711"/>
      <c r="H197" s="711"/>
      <c r="I197" s="711"/>
      <c r="J197" s="711"/>
      <c r="K197" s="711"/>
      <c r="L197" s="711"/>
      <c r="M197" s="711"/>
      <c r="N197" s="711"/>
      <c r="O197" s="711"/>
    </row>
    <row r="198" spans="1:15">
      <c r="A198" s="711"/>
      <c r="B198" s="711"/>
      <c r="C198" s="711"/>
      <c r="D198" s="711"/>
      <c r="E198" s="711"/>
      <c r="F198" s="711"/>
      <c r="G198" s="711"/>
      <c r="H198" s="711"/>
      <c r="I198" s="711"/>
      <c r="J198" s="711"/>
      <c r="K198" s="711"/>
      <c r="L198" s="711"/>
      <c r="M198" s="711"/>
      <c r="N198" s="711"/>
      <c r="O198" s="711"/>
    </row>
    <row r="199" spans="1:15">
      <c r="A199" s="711"/>
      <c r="B199" s="711"/>
      <c r="C199" s="711"/>
      <c r="D199" s="711"/>
      <c r="E199" s="711"/>
      <c r="F199" s="711"/>
      <c r="G199" s="711"/>
      <c r="H199" s="711"/>
      <c r="I199" s="711"/>
      <c r="J199" s="711"/>
      <c r="K199" s="711"/>
      <c r="L199" s="711"/>
      <c r="M199" s="711"/>
      <c r="N199" s="711"/>
      <c r="O199" s="711"/>
    </row>
    <row r="200" spans="1:15">
      <c r="A200" s="711"/>
      <c r="B200" s="711"/>
      <c r="C200" s="711"/>
      <c r="D200" s="711"/>
      <c r="E200" s="711"/>
      <c r="F200" s="711"/>
      <c r="G200" s="711"/>
      <c r="H200" s="711"/>
      <c r="I200" s="711"/>
      <c r="J200" s="711"/>
      <c r="K200" s="711"/>
      <c r="L200" s="711"/>
      <c r="M200" s="711"/>
      <c r="N200" s="711"/>
      <c r="O200" s="711"/>
    </row>
    <row r="201" spans="1:15">
      <c r="A201" s="711"/>
      <c r="B201" s="711"/>
      <c r="C201" s="711"/>
      <c r="D201" s="711"/>
      <c r="E201" s="711"/>
      <c r="F201" s="711"/>
      <c r="G201" s="711"/>
      <c r="H201" s="711"/>
      <c r="I201" s="711"/>
      <c r="J201" s="711"/>
      <c r="K201" s="711"/>
      <c r="L201" s="711"/>
      <c r="M201" s="711"/>
      <c r="N201" s="711"/>
      <c r="O201" s="711"/>
    </row>
    <row r="202" spans="1:15">
      <c r="A202" s="711"/>
      <c r="B202" s="711"/>
      <c r="C202" s="711"/>
      <c r="D202" s="711"/>
      <c r="E202" s="711"/>
      <c r="F202" s="711"/>
      <c r="G202" s="711"/>
      <c r="H202" s="711"/>
      <c r="I202" s="711"/>
      <c r="J202" s="711"/>
      <c r="K202" s="711"/>
      <c r="L202" s="711"/>
      <c r="M202" s="711"/>
      <c r="N202" s="711"/>
      <c r="O202" s="711"/>
    </row>
    <row r="203" spans="1:15">
      <c r="A203" s="711"/>
      <c r="B203" s="711"/>
      <c r="C203" s="711"/>
      <c r="D203" s="711"/>
      <c r="E203" s="711"/>
      <c r="F203" s="711"/>
      <c r="G203" s="711"/>
      <c r="H203" s="711"/>
      <c r="I203" s="711"/>
      <c r="J203" s="711"/>
      <c r="K203" s="711"/>
      <c r="L203" s="711"/>
      <c r="M203" s="711"/>
      <c r="N203" s="711"/>
      <c r="O203" s="711"/>
    </row>
    <row r="204" spans="1:15">
      <c r="A204" s="711"/>
      <c r="B204" s="711"/>
      <c r="C204" s="711"/>
      <c r="D204" s="711"/>
      <c r="E204" s="711"/>
      <c r="F204" s="711"/>
      <c r="G204" s="711"/>
      <c r="H204" s="711"/>
      <c r="I204" s="711"/>
      <c r="J204" s="711"/>
      <c r="K204" s="711"/>
      <c r="L204" s="711"/>
      <c r="M204" s="711"/>
      <c r="N204" s="711"/>
      <c r="O204" s="711"/>
    </row>
    <row r="205" spans="1:15">
      <c r="A205" s="711"/>
      <c r="B205" s="711"/>
      <c r="C205" s="711"/>
      <c r="D205" s="711"/>
      <c r="E205" s="711"/>
      <c r="F205" s="711"/>
      <c r="G205" s="711"/>
      <c r="H205" s="711"/>
      <c r="I205" s="711"/>
      <c r="J205" s="711"/>
      <c r="K205" s="711"/>
      <c r="L205" s="711"/>
      <c r="M205" s="711"/>
      <c r="N205" s="711"/>
      <c r="O205" s="711"/>
    </row>
    <row r="206" spans="1:15">
      <c r="A206" s="711"/>
      <c r="B206" s="711"/>
      <c r="C206" s="711"/>
      <c r="D206" s="711"/>
      <c r="E206" s="711"/>
      <c r="F206" s="711"/>
      <c r="G206" s="711"/>
      <c r="H206" s="711"/>
      <c r="I206" s="711"/>
      <c r="J206" s="711"/>
      <c r="K206" s="711"/>
      <c r="L206" s="711"/>
      <c r="M206" s="711"/>
      <c r="N206" s="711"/>
      <c r="O206" s="711"/>
    </row>
    <row r="207" spans="1:15">
      <c r="A207" s="711"/>
      <c r="B207" s="711"/>
      <c r="C207" s="711"/>
      <c r="D207" s="711"/>
      <c r="E207" s="711"/>
      <c r="F207" s="711"/>
      <c r="G207" s="711"/>
      <c r="H207" s="711"/>
      <c r="I207" s="711"/>
      <c r="J207" s="711"/>
      <c r="K207" s="711"/>
      <c r="L207" s="711"/>
      <c r="M207" s="711"/>
      <c r="N207" s="711"/>
      <c r="O207" s="711"/>
    </row>
    <row r="208" spans="1:15">
      <c r="A208" s="711"/>
      <c r="B208" s="711"/>
      <c r="C208" s="711"/>
      <c r="D208" s="711"/>
      <c r="E208" s="711"/>
      <c r="F208" s="711"/>
      <c r="G208" s="711"/>
      <c r="H208" s="711"/>
      <c r="I208" s="711"/>
      <c r="J208" s="711"/>
      <c r="K208" s="711"/>
      <c r="L208" s="711"/>
      <c r="M208" s="711"/>
      <c r="N208" s="711"/>
      <c r="O208" s="711"/>
    </row>
    <row r="209" spans="1:15">
      <c r="A209" s="711"/>
      <c r="B209" s="711"/>
      <c r="C209" s="711"/>
      <c r="D209" s="711"/>
      <c r="E209" s="711"/>
      <c r="F209" s="711"/>
      <c r="G209" s="711"/>
      <c r="H209" s="711"/>
      <c r="I209" s="711"/>
      <c r="J209" s="711"/>
      <c r="K209" s="711"/>
      <c r="L209" s="711"/>
      <c r="M209" s="711"/>
      <c r="N209" s="711"/>
      <c r="O209" s="711"/>
    </row>
    <row r="210" spans="1:15">
      <c r="A210" s="711"/>
      <c r="B210" s="711"/>
      <c r="C210" s="711"/>
      <c r="D210" s="711"/>
      <c r="E210" s="711"/>
      <c r="F210" s="711"/>
      <c r="G210" s="711"/>
      <c r="H210" s="711"/>
      <c r="I210" s="711"/>
      <c r="J210" s="711"/>
      <c r="K210" s="711"/>
      <c r="L210" s="711"/>
      <c r="M210" s="711"/>
      <c r="N210" s="711"/>
      <c r="O210" s="711"/>
    </row>
    <row r="211" spans="1:15">
      <c r="A211" s="711"/>
      <c r="B211" s="711"/>
      <c r="C211" s="711"/>
      <c r="D211" s="711"/>
      <c r="E211" s="711"/>
      <c r="F211" s="711"/>
      <c r="G211" s="711"/>
      <c r="H211" s="711"/>
      <c r="I211" s="711"/>
      <c r="J211" s="711"/>
      <c r="K211" s="711"/>
      <c r="L211" s="711"/>
      <c r="M211" s="711"/>
      <c r="N211" s="711"/>
      <c r="O211" s="711"/>
    </row>
    <row r="212" spans="1:15">
      <c r="A212" s="711"/>
      <c r="B212" s="711"/>
      <c r="C212" s="711"/>
      <c r="D212" s="711"/>
      <c r="E212" s="711"/>
      <c r="F212" s="711"/>
      <c r="G212" s="711"/>
      <c r="H212" s="711"/>
      <c r="I212" s="711"/>
      <c r="J212" s="711"/>
      <c r="K212" s="711"/>
      <c r="L212" s="711"/>
      <c r="M212" s="711"/>
      <c r="N212" s="711"/>
      <c r="O212" s="711"/>
    </row>
    <row r="213" spans="1:15">
      <c r="A213" s="711"/>
      <c r="B213" s="711"/>
      <c r="C213" s="711"/>
      <c r="D213" s="711"/>
      <c r="E213" s="711"/>
      <c r="F213" s="711"/>
      <c r="G213" s="711"/>
      <c r="H213" s="711"/>
      <c r="I213" s="711"/>
      <c r="J213" s="711"/>
      <c r="K213" s="711"/>
      <c r="L213" s="711"/>
      <c r="M213" s="711"/>
      <c r="N213" s="711"/>
      <c r="O213" s="711"/>
    </row>
    <row r="214" spans="1:15">
      <c r="A214" s="711"/>
      <c r="B214" s="711"/>
      <c r="C214" s="711"/>
      <c r="D214" s="711"/>
      <c r="E214" s="711"/>
      <c r="F214" s="711"/>
      <c r="G214" s="711"/>
      <c r="H214" s="711"/>
      <c r="I214" s="711"/>
      <c r="J214" s="711"/>
      <c r="K214" s="711"/>
      <c r="L214" s="711"/>
      <c r="M214" s="711"/>
      <c r="N214" s="711"/>
      <c r="O214" s="711"/>
    </row>
    <row r="215" spans="1:15">
      <c r="A215" s="711"/>
      <c r="B215" s="711"/>
      <c r="C215" s="711"/>
      <c r="D215" s="711"/>
      <c r="E215" s="711"/>
      <c r="F215" s="711"/>
      <c r="G215" s="711"/>
      <c r="H215" s="711"/>
      <c r="I215" s="711"/>
      <c r="J215" s="711"/>
      <c r="K215" s="711"/>
      <c r="L215" s="711"/>
      <c r="M215" s="711"/>
      <c r="N215" s="711"/>
      <c r="O215" s="711"/>
    </row>
    <row r="216" spans="1:15">
      <c r="A216" s="711"/>
      <c r="B216" s="711"/>
      <c r="C216" s="711"/>
      <c r="D216" s="711"/>
      <c r="E216" s="711"/>
      <c r="F216" s="711"/>
      <c r="G216" s="711"/>
      <c r="H216" s="711"/>
      <c r="I216" s="711"/>
      <c r="J216" s="711"/>
      <c r="K216" s="711"/>
      <c r="L216" s="711"/>
      <c r="M216" s="711"/>
      <c r="N216" s="711"/>
      <c r="O216" s="711"/>
    </row>
    <row r="217" spans="1:15">
      <c r="A217" s="711"/>
      <c r="B217" s="711"/>
      <c r="C217" s="711"/>
      <c r="D217" s="711"/>
      <c r="E217" s="711"/>
      <c r="F217" s="711"/>
      <c r="G217" s="711"/>
      <c r="H217" s="711"/>
      <c r="I217" s="711"/>
      <c r="J217" s="711"/>
      <c r="K217" s="711"/>
      <c r="L217" s="711"/>
      <c r="M217" s="711"/>
      <c r="N217" s="711"/>
      <c r="O217" s="711"/>
    </row>
    <row r="218" spans="1:15">
      <c r="A218" s="711"/>
      <c r="B218" s="711"/>
      <c r="C218" s="711"/>
      <c r="D218" s="711"/>
      <c r="E218" s="711"/>
      <c r="F218" s="711"/>
      <c r="G218" s="711"/>
      <c r="H218" s="711"/>
      <c r="I218" s="711"/>
      <c r="J218" s="711"/>
      <c r="K218" s="711"/>
      <c r="L218" s="711"/>
      <c r="M218" s="711"/>
      <c r="N218" s="711"/>
      <c r="O218" s="711"/>
    </row>
    <row r="219" spans="1:15">
      <c r="A219" s="711"/>
      <c r="B219" s="711"/>
      <c r="C219" s="711"/>
      <c r="D219" s="711"/>
      <c r="E219" s="711"/>
      <c r="F219" s="711"/>
      <c r="G219" s="711"/>
      <c r="H219" s="711"/>
      <c r="I219" s="711"/>
      <c r="J219" s="711"/>
      <c r="K219" s="711"/>
      <c r="L219" s="711"/>
      <c r="M219" s="711"/>
      <c r="N219" s="711"/>
      <c r="O219" s="711"/>
    </row>
    <row r="220" spans="1:15">
      <c r="A220" s="711"/>
      <c r="B220" s="711"/>
      <c r="C220" s="711"/>
      <c r="D220" s="711"/>
      <c r="E220" s="711"/>
      <c r="F220" s="711"/>
      <c r="G220" s="711"/>
      <c r="H220" s="711"/>
      <c r="I220" s="711"/>
      <c r="J220" s="711"/>
      <c r="K220" s="711"/>
      <c r="L220" s="711"/>
      <c r="M220" s="711"/>
      <c r="N220" s="711"/>
      <c r="O220" s="711"/>
    </row>
    <row r="221" spans="1:15">
      <c r="A221" s="711"/>
      <c r="B221" s="711"/>
      <c r="C221" s="711"/>
      <c r="D221" s="711"/>
      <c r="E221" s="711"/>
      <c r="F221" s="711"/>
      <c r="G221" s="711"/>
      <c r="H221" s="711"/>
      <c r="I221" s="711"/>
      <c r="J221" s="711"/>
      <c r="K221" s="711"/>
      <c r="L221" s="711"/>
      <c r="M221" s="711"/>
      <c r="N221" s="711"/>
      <c r="O221" s="711"/>
    </row>
    <row r="222" spans="1:15">
      <c r="A222" s="711"/>
      <c r="B222" s="711"/>
      <c r="C222" s="711"/>
      <c r="D222" s="711"/>
      <c r="E222" s="711"/>
      <c r="F222" s="711"/>
      <c r="G222" s="711"/>
      <c r="H222" s="711"/>
      <c r="I222" s="711"/>
      <c r="J222" s="711"/>
      <c r="K222" s="711"/>
      <c r="L222" s="711"/>
      <c r="M222" s="711"/>
      <c r="N222" s="711"/>
      <c r="O222" s="711"/>
    </row>
    <row r="223" spans="1:15">
      <c r="A223" s="711"/>
      <c r="B223" s="711"/>
      <c r="C223" s="711"/>
      <c r="D223" s="711"/>
      <c r="E223" s="711"/>
      <c r="F223" s="711"/>
      <c r="G223" s="711"/>
      <c r="H223" s="711"/>
      <c r="I223" s="711"/>
      <c r="J223" s="711"/>
      <c r="K223" s="711"/>
      <c r="L223" s="711"/>
      <c r="M223" s="711"/>
      <c r="N223" s="711"/>
      <c r="O223" s="711"/>
    </row>
    <row r="224" spans="1:15">
      <c r="A224" s="711"/>
      <c r="B224" s="711"/>
      <c r="C224" s="711"/>
      <c r="D224" s="711"/>
      <c r="E224" s="711"/>
      <c r="F224" s="711"/>
      <c r="G224" s="711"/>
      <c r="H224" s="711"/>
      <c r="I224" s="711"/>
      <c r="J224" s="711"/>
      <c r="K224" s="711"/>
      <c r="L224" s="711"/>
      <c r="M224" s="711"/>
      <c r="N224" s="711"/>
      <c r="O224" s="711"/>
    </row>
    <row r="225" spans="1:15">
      <c r="A225" s="711"/>
      <c r="B225" s="711"/>
      <c r="C225" s="711"/>
      <c r="D225" s="711"/>
      <c r="E225" s="711"/>
      <c r="F225" s="711"/>
      <c r="G225" s="711"/>
      <c r="H225" s="711"/>
      <c r="I225" s="711"/>
      <c r="J225" s="711"/>
      <c r="K225" s="711"/>
      <c r="L225" s="711"/>
      <c r="M225" s="711"/>
      <c r="N225" s="711"/>
      <c r="O225" s="711"/>
    </row>
    <row r="226" spans="1:15">
      <c r="A226" s="711"/>
      <c r="B226" s="711"/>
      <c r="C226" s="711"/>
      <c r="D226" s="711"/>
      <c r="E226" s="711"/>
      <c r="F226" s="711"/>
      <c r="G226" s="711"/>
      <c r="H226" s="711"/>
      <c r="I226" s="711"/>
      <c r="J226" s="711"/>
      <c r="K226" s="711"/>
      <c r="L226" s="711"/>
      <c r="M226" s="711"/>
      <c r="N226" s="711"/>
      <c r="O226" s="711"/>
    </row>
    <row r="227" spans="1:15">
      <c r="A227" s="711"/>
      <c r="B227" s="711"/>
      <c r="C227" s="711"/>
      <c r="D227" s="711"/>
      <c r="E227" s="711"/>
      <c r="F227" s="711"/>
      <c r="G227" s="711"/>
      <c r="H227" s="711"/>
      <c r="I227" s="711"/>
      <c r="J227" s="711"/>
      <c r="K227" s="711"/>
      <c r="L227" s="711"/>
      <c r="M227" s="711"/>
      <c r="N227" s="711"/>
      <c r="O227" s="711"/>
    </row>
    <row r="228" spans="1:15">
      <c r="A228" s="711"/>
      <c r="B228" s="711"/>
      <c r="C228" s="711"/>
      <c r="D228" s="711"/>
      <c r="E228" s="711"/>
      <c r="F228" s="711"/>
      <c r="G228" s="711"/>
      <c r="H228" s="711"/>
      <c r="I228" s="711"/>
      <c r="J228" s="711"/>
      <c r="K228" s="711"/>
      <c r="L228" s="711"/>
      <c r="M228" s="711"/>
      <c r="N228" s="711"/>
      <c r="O228" s="711"/>
    </row>
    <row r="229" spans="1:15">
      <c r="A229" s="711"/>
      <c r="B229" s="711"/>
      <c r="C229" s="711"/>
      <c r="D229" s="711"/>
      <c r="E229" s="711"/>
      <c r="F229" s="711"/>
      <c r="G229" s="711"/>
      <c r="H229" s="711"/>
      <c r="I229" s="711"/>
      <c r="J229" s="711"/>
      <c r="K229" s="711"/>
      <c r="L229" s="711"/>
      <c r="M229" s="711"/>
      <c r="N229" s="711"/>
      <c r="O229" s="711"/>
    </row>
    <row r="230" spans="1:15">
      <c r="A230" s="711"/>
      <c r="B230" s="711"/>
      <c r="C230" s="711"/>
      <c r="D230" s="711"/>
      <c r="E230" s="711"/>
      <c r="F230" s="711"/>
      <c r="G230" s="711"/>
      <c r="H230" s="711"/>
      <c r="I230" s="711"/>
      <c r="J230" s="711"/>
      <c r="K230" s="711"/>
      <c r="L230" s="711"/>
      <c r="M230" s="711"/>
      <c r="N230" s="711"/>
      <c r="O230" s="711"/>
    </row>
    <row r="231" spans="1:15">
      <c r="A231" s="711"/>
      <c r="B231" s="711"/>
      <c r="C231" s="711"/>
      <c r="D231" s="711"/>
      <c r="E231" s="711"/>
      <c r="F231" s="711"/>
      <c r="G231" s="711"/>
      <c r="H231" s="711"/>
      <c r="I231" s="711"/>
      <c r="J231" s="711"/>
      <c r="K231" s="711"/>
      <c r="L231" s="711"/>
      <c r="M231" s="711"/>
      <c r="N231" s="711"/>
      <c r="O231" s="711"/>
    </row>
    <row r="232" spans="1:15">
      <c r="A232" s="711"/>
      <c r="B232" s="711"/>
      <c r="C232" s="711"/>
      <c r="D232" s="711"/>
      <c r="E232" s="711"/>
      <c r="F232" s="711"/>
      <c r="G232" s="711"/>
      <c r="H232" s="711"/>
      <c r="I232" s="711"/>
      <c r="J232" s="711"/>
      <c r="K232" s="711"/>
      <c r="L232" s="711"/>
      <c r="M232" s="711"/>
      <c r="N232" s="711"/>
      <c r="O232" s="711"/>
    </row>
    <row r="233" spans="1:15">
      <c r="A233" s="711"/>
      <c r="B233" s="711"/>
      <c r="C233" s="711"/>
      <c r="D233" s="711"/>
      <c r="E233" s="711"/>
      <c r="F233" s="711"/>
      <c r="G233" s="711"/>
      <c r="H233" s="711"/>
      <c r="I233" s="711"/>
      <c r="J233" s="711"/>
      <c r="K233" s="711"/>
      <c r="L233" s="711"/>
      <c r="M233" s="711"/>
      <c r="N233" s="711"/>
      <c r="O233" s="711"/>
    </row>
    <row r="234" spans="1:15">
      <c r="A234" s="711"/>
      <c r="B234" s="711"/>
      <c r="C234" s="711"/>
      <c r="D234" s="711"/>
      <c r="E234" s="711"/>
      <c r="F234" s="711"/>
      <c r="G234" s="711"/>
      <c r="H234" s="711"/>
      <c r="I234" s="711"/>
      <c r="J234" s="711"/>
      <c r="K234" s="711"/>
      <c r="L234" s="711"/>
      <c r="M234" s="711"/>
      <c r="N234" s="711"/>
      <c r="O234" s="711"/>
    </row>
    <row r="235" spans="1:15">
      <c r="A235" s="711"/>
      <c r="B235" s="711"/>
      <c r="C235" s="711"/>
      <c r="D235" s="711"/>
      <c r="E235" s="711"/>
      <c r="F235" s="711"/>
      <c r="G235" s="711"/>
      <c r="H235" s="711"/>
      <c r="I235" s="711"/>
      <c r="J235" s="711"/>
      <c r="K235" s="711"/>
      <c r="L235" s="711"/>
      <c r="M235" s="711"/>
      <c r="N235" s="711"/>
      <c r="O235" s="711"/>
    </row>
    <row r="236" spans="1:15">
      <c r="A236" s="711"/>
      <c r="B236" s="711"/>
      <c r="C236" s="711"/>
      <c r="D236" s="711"/>
      <c r="E236" s="711"/>
      <c r="F236" s="711"/>
      <c r="G236" s="711"/>
      <c r="H236" s="711"/>
      <c r="I236" s="711"/>
      <c r="J236" s="711"/>
      <c r="K236" s="711"/>
      <c r="L236" s="711"/>
      <c r="M236" s="711"/>
      <c r="N236" s="711"/>
      <c r="O236" s="711"/>
    </row>
    <row r="237" spans="1:15">
      <c r="A237" s="711"/>
      <c r="B237" s="711"/>
      <c r="C237" s="711"/>
      <c r="D237" s="711"/>
      <c r="E237" s="711"/>
      <c r="F237" s="711"/>
      <c r="G237" s="711"/>
      <c r="H237" s="711"/>
      <c r="I237" s="711"/>
      <c r="J237" s="711"/>
      <c r="K237" s="711"/>
      <c r="L237" s="711"/>
      <c r="M237" s="711"/>
      <c r="N237" s="711"/>
      <c r="O237" s="711"/>
    </row>
    <row r="238" spans="1:15">
      <c r="A238" s="711"/>
      <c r="B238" s="711"/>
      <c r="C238" s="711"/>
      <c r="D238" s="711"/>
      <c r="E238" s="711"/>
      <c r="F238" s="711"/>
      <c r="G238" s="711"/>
      <c r="H238" s="711"/>
      <c r="I238" s="711"/>
      <c r="J238" s="711"/>
      <c r="K238" s="711"/>
      <c r="L238" s="711"/>
      <c r="M238" s="711"/>
      <c r="N238" s="711"/>
      <c r="O238" s="711"/>
    </row>
    <row r="239" spans="1:15">
      <c r="A239" s="711"/>
      <c r="B239" s="711"/>
      <c r="C239" s="711"/>
      <c r="D239" s="711"/>
      <c r="E239" s="711"/>
      <c r="F239" s="711"/>
      <c r="G239" s="711"/>
      <c r="H239" s="711"/>
      <c r="I239" s="711"/>
      <c r="J239" s="711"/>
      <c r="K239" s="711"/>
      <c r="L239" s="711"/>
      <c r="M239" s="711"/>
      <c r="N239" s="711"/>
      <c r="O239" s="711"/>
    </row>
    <row r="240" spans="1:15">
      <c r="A240" s="711"/>
      <c r="B240" s="711"/>
      <c r="C240" s="711"/>
      <c r="D240" s="711"/>
      <c r="E240" s="711"/>
      <c r="F240" s="711"/>
      <c r="G240" s="711"/>
      <c r="H240" s="711"/>
      <c r="I240" s="711"/>
      <c r="J240" s="711"/>
      <c r="K240" s="711"/>
      <c r="L240" s="711"/>
      <c r="M240" s="711"/>
      <c r="N240" s="711"/>
      <c r="O240" s="711"/>
    </row>
    <row r="241" spans="1:15">
      <c r="A241" s="711"/>
      <c r="B241" s="711"/>
      <c r="C241" s="711"/>
      <c r="D241" s="711"/>
      <c r="E241" s="711"/>
      <c r="F241" s="711"/>
      <c r="G241" s="711"/>
      <c r="H241" s="711"/>
      <c r="I241" s="711"/>
      <c r="J241" s="711"/>
      <c r="K241" s="711"/>
      <c r="L241" s="711"/>
      <c r="M241" s="711"/>
      <c r="N241" s="711"/>
      <c r="O241" s="711"/>
    </row>
    <row r="242" spans="1:15">
      <c r="A242" s="711"/>
      <c r="B242" s="711"/>
      <c r="C242" s="711"/>
      <c r="D242" s="711"/>
      <c r="E242" s="711"/>
      <c r="F242" s="711"/>
      <c r="G242" s="711"/>
      <c r="H242" s="711"/>
      <c r="I242" s="711"/>
      <c r="J242" s="711"/>
      <c r="K242" s="711"/>
      <c r="L242" s="711"/>
      <c r="M242" s="711"/>
      <c r="N242" s="711"/>
      <c r="O242" s="711"/>
    </row>
    <row r="243" spans="1:15">
      <c r="A243" s="711"/>
      <c r="B243" s="711"/>
      <c r="C243" s="711"/>
      <c r="D243" s="711"/>
      <c r="E243" s="711"/>
      <c r="F243" s="711"/>
      <c r="G243" s="711"/>
      <c r="H243" s="711"/>
      <c r="I243" s="711"/>
      <c r="J243" s="711"/>
      <c r="K243" s="711"/>
      <c r="L243" s="711"/>
      <c r="M243" s="711"/>
      <c r="N243" s="711"/>
      <c r="O243" s="711"/>
    </row>
  </sheetData>
  <sheetProtection sheet="1" objects="1" scenarios="1"/>
  <mergeCells count="1">
    <mergeCell ref="A1:O243"/>
  </mergeCells>
  <pageMargins left="0.25" right="0.25" top="0.75" bottom="0.75" header="0.3" footer="0.3"/>
  <pageSetup paperSize="9" scale="35" fitToHeight="2"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4C1-64D1-134F-A978-F330E6390606}">
  <sheetPr>
    <tabColor rgb="FFFFFF00"/>
    <pageSetUpPr fitToPage="1"/>
  </sheetPr>
  <dimension ref="A1:I14"/>
  <sheetViews>
    <sheetView zoomScaleNormal="100" workbookViewId="0">
      <selection activeCell="A8" sqref="A8:I8"/>
    </sheetView>
  </sheetViews>
  <sheetFormatPr baseColWidth="10" defaultRowHeight="16"/>
  <sheetData>
    <row r="1" spans="1:9" ht="51" customHeight="1">
      <c r="A1" s="712" t="str">
        <f>"Ændringer i planlægningsværktøjet "&amp;Vejledning!B2&amp;" i forhold til sidste skoleår"</f>
        <v>Ændringer i planlægningsværktøjet 2025-2026 i forhold til sidste skoleår</v>
      </c>
      <c r="B1" s="712"/>
      <c r="C1" s="712"/>
      <c r="D1" s="712"/>
      <c r="E1" s="712"/>
      <c r="F1" s="712"/>
      <c r="G1" s="712"/>
      <c r="H1" s="712"/>
      <c r="I1" s="712"/>
    </row>
    <row r="2" spans="1:9" ht="21">
      <c r="A2" s="713" t="s">
        <v>497</v>
      </c>
      <c r="B2" s="713"/>
      <c r="C2" s="713"/>
      <c r="D2" s="713"/>
      <c r="E2" s="713"/>
      <c r="F2" s="713"/>
      <c r="G2" s="713"/>
      <c r="H2" s="713"/>
      <c r="I2" s="713"/>
    </row>
    <row r="3" spans="1:9" ht="55" customHeight="1">
      <c r="A3" s="714" t="s">
        <v>499</v>
      </c>
      <c r="B3" s="714"/>
      <c r="C3" s="714"/>
      <c r="D3" s="714"/>
      <c r="E3" s="714"/>
      <c r="F3" s="714"/>
      <c r="G3" s="714"/>
      <c r="H3" s="714"/>
      <c r="I3" s="714"/>
    </row>
    <row r="4" spans="1:9">
      <c r="A4" s="711"/>
      <c r="B4" s="711"/>
      <c r="C4" s="711"/>
      <c r="D4" s="711"/>
      <c r="E4" s="711"/>
      <c r="F4" s="711"/>
      <c r="G4" s="711"/>
      <c r="H4" s="711"/>
      <c r="I4" s="711"/>
    </row>
    <row r="5" spans="1:9" ht="21">
      <c r="A5" s="713" t="s">
        <v>418</v>
      </c>
      <c r="B5" s="713"/>
      <c r="C5" s="713"/>
      <c r="D5" s="713"/>
      <c r="E5" s="713"/>
      <c r="F5" s="713"/>
      <c r="G5" s="713"/>
      <c r="H5" s="713"/>
      <c r="I5" s="713"/>
    </row>
    <row r="6" spans="1:9" ht="19" customHeight="1">
      <c r="A6" s="714" t="s">
        <v>481</v>
      </c>
      <c r="B6" s="714"/>
      <c r="C6" s="714"/>
      <c r="D6" s="714"/>
      <c r="E6" s="714"/>
      <c r="F6" s="714"/>
      <c r="G6" s="714"/>
      <c r="H6" s="714"/>
      <c r="I6" s="714"/>
    </row>
    <row r="7" spans="1:9" ht="20" customHeight="1">
      <c r="A7" s="715"/>
      <c r="B7" s="715"/>
      <c r="C7" s="715"/>
      <c r="D7" s="715"/>
      <c r="E7" s="715"/>
      <c r="F7" s="715"/>
      <c r="G7" s="715"/>
      <c r="H7" s="715"/>
      <c r="I7" s="715"/>
    </row>
    <row r="8" spans="1:9" ht="21">
      <c r="A8" s="713" t="s">
        <v>469</v>
      </c>
      <c r="B8" s="713"/>
      <c r="C8" s="713"/>
      <c r="D8" s="713"/>
      <c r="E8" s="713"/>
      <c r="F8" s="713"/>
      <c r="G8" s="713"/>
      <c r="H8" s="713"/>
      <c r="I8" s="713"/>
    </row>
    <row r="9" spans="1:9" ht="22" customHeight="1">
      <c r="A9" s="714" t="s">
        <v>482</v>
      </c>
      <c r="B9" s="714"/>
      <c r="C9" s="714"/>
      <c r="D9" s="714"/>
      <c r="E9" s="714"/>
      <c r="F9" s="714"/>
      <c r="G9" s="714"/>
      <c r="H9" s="714"/>
      <c r="I9" s="714"/>
    </row>
    <row r="10" spans="1:9" ht="20" customHeight="1">
      <c r="A10" s="711"/>
      <c r="B10" s="711"/>
      <c r="C10" s="711"/>
      <c r="D10" s="711"/>
      <c r="E10" s="711"/>
      <c r="F10" s="711"/>
      <c r="G10" s="711"/>
      <c r="H10" s="711"/>
      <c r="I10" s="711"/>
    </row>
    <row r="11" spans="1:9" ht="21">
      <c r="A11" s="713" t="s">
        <v>483</v>
      </c>
      <c r="B11" s="713"/>
      <c r="C11" s="713"/>
      <c r="D11" s="713"/>
      <c r="E11" s="713"/>
      <c r="F11" s="713"/>
      <c r="G11" s="713"/>
      <c r="H11" s="713"/>
      <c r="I11" s="713"/>
    </row>
    <row r="12" spans="1:9" ht="32" customHeight="1">
      <c r="A12" s="714" t="s">
        <v>467</v>
      </c>
      <c r="B12" s="714"/>
      <c r="C12" s="714"/>
      <c r="D12" s="714"/>
      <c r="E12" s="714"/>
      <c r="F12" s="714"/>
      <c r="G12" s="714"/>
      <c r="H12" s="714"/>
      <c r="I12" s="714"/>
    </row>
    <row r="14" spans="1:9" ht="21">
      <c r="A14" s="716" t="s">
        <v>468</v>
      </c>
      <c r="B14" s="716"/>
      <c r="C14" s="716"/>
      <c r="D14" s="716"/>
      <c r="E14" s="716"/>
      <c r="F14" s="716"/>
      <c r="G14" s="716"/>
      <c r="H14" s="716"/>
      <c r="I14" s="716"/>
    </row>
  </sheetData>
  <sheetProtection sheet="1" objects="1" scenarios="1"/>
  <mergeCells count="13">
    <mergeCell ref="A14:I14"/>
    <mergeCell ref="A8:I8"/>
    <mergeCell ref="A11:I11"/>
    <mergeCell ref="A12:I12"/>
    <mergeCell ref="A9:I9"/>
    <mergeCell ref="A10:I10"/>
    <mergeCell ref="A1:I1"/>
    <mergeCell ref="A4:I4"/>
    <mergeCell ref="A5:I5"/>
    <mergeCell ref="A6:I6"/>
    <mergeCell ref="A7:I7"/>
    <mergeCell ref="A2:I2"/>
    <mergeCell ref="A3:I3"/>
  </mergeCells>
  <pageMargins left="0.7" right="0.7" top="0.75" bottom="0.75" header="0.3" footer="0.3"/>
  <pageSetup paperSize="9" scale="8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4A4B-4CC5-4948-B58D-887F4268342E}">
  <sheetPr>
    <tabColor rgb="FFFFFF00"/>
    <pageSetUpPr fitToPage="1"/>
  </sheetPr>
  <dimension ref="A1:J46"/>
  <sheetViews>
    <sheetView zoomScale="101" workbookViewId="0">
      <selection activeCell="D50" sqref="D50"/>
    </sheetView>
  </sheetViews>
  <sheetFormatPr baseColWidth="10" defaultRowHeight="16"/>
  <sheetData>
    <row r="1" spans="1:10" ht="24">
      <c r="A1" s="718" t="s">
        <v>434</v>
      </c>
      <c r="B1" s="718"/>
      <c r="C1" s="718"/>
      <c r="D1" s="718"/>
      <c r="E1" s="718"/>
      <c r="F1" s="718"/>
      <c r="G1" s="718"/>
      <c r="H1" s="718"/>
      <c r="I1" s="718"/>
      <c r="J1" s="718"/>
    </row>
    <row r="3" spans="1:10" ht="24">
      <c r="A3" s="667" t="s">
        <v>451</v>
      </c>
    </row>
    <row r="4" spans="1:10">
      <c r="A4" t="s">
        <v>435</v>
      </c>
    </row>
    <row r="5" spans="1:10" ht="148" customHeight="1">
      <c r="A5" s="714" t="s">
        <v>450</v>
      </c>
      <c r="B5" s="714"/>
      <c r="C5" s="714"/>
      <c r="D5" s="714"/>
      <c r="E5" s="714"/>
      <c r="F5" s="714"/>
      <c r="G5" s="714"/>
      <c r="H5" s="714"/>
      <c r="I5" s="714"/>
    </row>
    <row r="7" spans="1:10" ht="24">
      <c r="A7" s="667" t="s">
        <v>436</v>
      </c>
    </row>
    <row r="8" spans="1:10" ht="50" customHeight="1">
      <c r="A8" s="714" t="s">
        <v>456</v>
      </c>
      <c r="B8" s="714"/>
      <c r="C8" s="714"/>
      <c r="D8" s="714"/>
      <c r="E8" s="714"/>
      <c r="F8" s="714"/>
      <c r="G8" s="714"/>
      <c r="H8" s="714"/>
      <c r="I8" s="714"/>
    </row>
    <row r="9" spans="1:10" ht="19">
      <c r="A9" s="719" t="s">
        <v>437</v>
      </c>
      <c r="B9" s="719"/>
      <c r="C9" s="719"/>
      <c r="D9" s="719"/>
      <c r="E9" s="719"/>
      <c r="F9" s="719"/>
      <c r="G9" s="719"/>
      <c r="H9" s="719"/>
      <c r="I9" s="719"/>
    </row>
    <row r="10" spans="1:10">
      <c r="A10" s="720" t="s">
        <v>417</v>
      </c>
      <c r="B10" s="720"/>
      <c r="C10" s="720"/>
      <c r="D10" s="720"/>
      <c r="E10" s="720"/>
      <c r="F10" s="720"/>
      <c r="G10" s="720"/>
      <c r="H10" s="720"/>
      <c r="I10" s="720"/>
    </row>
    <row r="11" spans="1:10" ht="56" customHeight="1">
      <c r="A11" s="714" t="s">
        <v>452</v>
      </c>
      <c r="B11" s="714"/>
      <c r="C11" s="714"/>
      <c r="D11" s="714"/>
      <c r="E11" s="714"/>
      <c r="F11" s="714"/>
      <c r="G11" s="714"/>
      <c r="H11" s="714"/>
      <c r="I11" s="714"/>
    </row>
    <row r="12" spans="1:10" ht="22" customHeight="1">
      <c r="A12" s="720" t="s">
        <v>438</v>
      </c>
      <c r="B12" s="720"/>
      <c r="C12" s="720"/>
      <c r="D12" s="720"/>
      <c r="E12" s="720"/>
      <c r="F12" s="720"/>
      <c r="G12" s="720"/>
      <c r="H12" s="720"/>
      <c r="I12" s="720"/>
    </row>
    <row r="13" spans="1:10" ht="49" customHeight="1">
      <c r="A13" s="714" t="s">
        <v>453</v>
      </c>
      <c r="B13" s="714"/>
      <c r="C13" s="714"/>
      <c r="D13" s="714"/>
      <c r="E13" s="714"/>
      <c r="F13" s="714"/>
      <c r="G13" s="714"/>
      <c r="H13" s="714"/>
      <c r="I13" s="714"/>
    </row>
    <row r="14" spans="1:10">
      <c r="A14" s="721" t="s">
        <v>439</v>
      </c>
      <c r="B14" s="721"/>
      <c r="C14" s="721"/>
      <c r="D14" s="721"/>
      <c r="E14" s="721"/>
      <c r="F14" s="721"/>
      <c r="G14" s="721"/>
      <c r="H14" s="721"/>
      <c r="I14" s="721"/>
    </row>
    <row r="15" spans="1:10">
      <c r="A15" s="668" t="s">
        <v>440</v>
      </c>
      <c r="B15" s="668"/>
      <c r="C15" s="668"/>
      <c r="D15" s="668"/>
      <c r="E15" s="668"/>
      <c r="F15" s="668"/>
      <c r="G15" s="668"/>
      <c r="H15" s="668"/>
      <c r="I15" s="668"/>
    </row>
    <row r="16" spans="1:10" ht="37" customHeight="1">
      <c r="A16" s="714" t="s">
        <v>454</v>
      </c>
      <c r="B16" s="714"/>
      <c r="C16" s="714"/>
      <c r="D16" s="714"/>
      <c r="E16" s="714"/>
      <c r="F16" s="714"/>
      <c r="G16" s="714"/>
      <c r="H16" s="714"/>
      <c r="I16" s="714"/>
    </row>
    <row r="17" spans="1:9" ht="22" customHeight="1">
      <c r="A17" s="717" t="s">
        <v>100</v>
      </c>
      <c r="B17" s="717"/>
      <c r="C17" s="717"/>
      <c r="D17" s="717"/>
      <c r="E17" s="717"/>
      <c r="F17" s="717"/>
      <c r="G17" s="717"/>
      <c r="H17" s="717"/>
      <c r="I17" s="717"/>
    </row>
    <row r="18" spans="1:9">
      <c r="A18" s="722" t="s">
        <v>441</v>
      </c>
      <c r="B18" s="722"/>
      <c r="C18" s="722"/>
      <c r="D18" s="722"/>
      <c r="E18" s="722"/>
      <c r="F18" s="722"/>
      <c r="G18" s="722"/>
      <c r="H18" s="722"/>
      <c r="I18" s="722"/>
    </row>
    <row r="19" spans="1:9">
      <c r="A19" s="722" t="s">
        <v>442</v>
      </c>
      <c r="B19" s="722"/>
      <c r="C19" s="722"/>
      <c r="D19" s="722"/>
      <c r="E19" s="722"/>
      <c r="F19" s="722"/>
      <c r="G19" s="722"/>
      <c r="H19" s="722"/>
      <c r="I19" s="722"/>
    </row>
    <row r="20" spans="1:9">
      <c r="A20" s="714" t="s">
        <v>443</v>
      </c>
      <c r="B20" s="714"/>
      <c r="C20" s="714"/>
      <c r="D20" s="714"/>
      <c r="E20" s="714"/>
      <c r="F20" s="714"/>
      <c r="G20" s="714"/>
      <c r="H20" s="714"/>
      <c r="I20" s="714"/>
    </row>
    <row r="21" spans="1:9" ht="36" customHeight="1">
      <c r="A21" s="714" t="s">
        <v>455</v>
      </c>
      <c r="B21" s="714"/>
      <c r="C21" s="714"/>
      <c r="D21" s="714"/>
      <c r="E21" s="714"/>
      <c r="F21" s="714"/>
      <c r="G21" s="714"/>
      <c r="H21" s="714"/>
      <c r="I21" s="714"/>
    </row>
    <row r="22" spans="1:9" ht="79" customHeight="1">
      <c r="A22" s="723" t="s">
        <v>444</v>
      </c>
      <c r="B22" s="724"/>
      <c r="C22" s="724"/>
      <c r="D22" s="724"/>
      <c r="E22" s="724"/>
      <c r="F22" s="724"/>
      <c r="G22" s="724"/>
      <c r="H22" s="724"/>
      <c r="I22" s="724"/>
    </row>
    <row r="23" spans="1:9">
      <c r="A23" s="669"/>
    </row>
    <row r="24" spans="1:9" ht="24">
      <c r="A24" s="667" t="s">
        <v>445</v>
      </c>
    </row>
    <row r="25" spans="1:9">
      <c r="A25" s="722" t="s">
        <v>446</v>
      </c>
      <c r="B25" s="722"/>
      <c r="C25" s="722"/>
      <c r="D25" s="722"/>
      <c r="E25" s="722"/>
      <c r="F25" s="722"/>
      <c r="G25" s="722"/>
      <c r="H25" s="722"/>
      <c r="I25" s="722"/>
    </row>
    <row r="26" spans="1:9" ht="35" customHeight="1">
      <c r="A26" s="714" t="s">
        <v>447</v>
      </c>
      <c r="B26" s="714"/>
      <c r="C26" s="714"/>
      <c r="D26" s="714"/>
      <c r="E26" s="714"/>
      <c r="F26" s="714"/>
      <c r="G26" s="714"/>
      <c r="H26" s="714"/>
      <c r="I26" s="714"/>
    </row>
    <row r="27" spans="1:9">
      <c r="A27" s="722" t="s">
        <v>448</v>
      </c>
      <c r="B27" s="722"/>
      <c r="C27" s="722"/>
      <c r="D27" s="722"/>
      <c r="E27" s="722"/>
      <c r="F27" s="722"/>
      <c r="G27" s="722"/>
      <c r="H27" s="722"/>
      <c r="I27" s="722"/>
    </row>
    <row r="28" spans="1:9">
      <c r="A28" s="714" t="s">
        <v>449</v>
      </c>
      <c r="B28" s="714"/>
      <c r="C28" s="714"/>
      <c r="D28" s="714"/>
      <c r="E28" s="714"/>
      <c r="F28" s="714"/>
      <c r="G28" s="714"/>
      <c r="H28" s="714"/>
      <c r="I28" s="714"/>
    </row>
    <row r="30" spans="1:9" ht="24">
      <c r="A30" s="667" t="s">
        <v>457</v>
      </c>
    </row>
    <row r="31" spans="1:9" ht="19">
      <c r="A31" s="719" t="s">
        <v>437</v>
      </c>
      <c r="B31" s="719"/>
      <c r="C31" s="719"/>
      <c r="D31" s="719"/>
      <c r="E31" s="719"/>
      <c r="F31" s="719"/>
      <c r="G31" s="719"/>
      <c r="H31" s="719"/>
      <c r="I31" s="719"/>
    </row>
    <row r="32" spans="1:9">
      <c r="A32" s="720" t="s">
        <v>417</v>
      </c>
      <c r="B32" s="720"/>
      <c r="C32" s="720"/>
      <c r="D32" s="720"/>
      <c r="E32" s="720"/>
      <c r="F32" s="720"/>
      <c r="G32" s="720"/>
      <c r="H32" s="720"/>
      <c r="I32" s="720"/>
    </row>
    <row r="33" spans="1:9" ht="56" customHeight="1">
      <c r="A33" s="714" t="s">
        <v>458</v>
      </c>
      <c r="B33" s="714"/>
      <c r="C33" s="714"/>
      <c r="D33" s="714"/>
      <c r="E33" s="714"/>
      <c r="F33" s="714"/>
      <c r="G33" s="714"/>
      <c r="H33" s="714"/>
      <c r="I33" s="714"/>
    </row>
    <row r="34" spans="1:9" ht="22" customHeight="1">
      <c r="A34" s="720" t="s">
        <v>438</v>
      </c>
      <c r="B34" s="720"/>
      <c r="C34" s="720"/>
      <c r="D34" s="720"/>
      <c r="E34" s="720"/>
      <c r="F34" s="720"/>
      <c r="G34" s="720"/>
      <c r="H34" s="720"/>
      <c r="I34" s="720"/>
    </row>
    <row r="35" spans="1:9" ht="36" customHeight="1">
      <c r="A35" s="714" t="s">
        <v>459</v>
      </c>
      <c r="B35" s="714"/>
      <c r="C35" s="714"/>
      <c r="D35" s="714"/>
      <c r="E35" s="714"/>
      <c r="F35" s="714"/>
      <c r="G35" s="714"/>
      <c r="H35" s="714"/>
      <c r="I35" s="714"/>
    </row>
    <row r="36" spans="1:9">
      <c r="A36" s="721" t="s">
        <v>439</v>
      </c>
      <c r="B36" s="721"/>
      <c r="C36" s="721"/>
      <c r="D36" s="721"/>
      <c r="E36" s="721"/>
      <c r="F36" s="721"/>
      <c r="G36" s="721"/>
      <c r="H36" s="721"/>
      <c r="I36" s="721"/>
    </row>
    <row r="37" spans="1:9" ht="22" customHeight="1">
      <c r="A37" s="717" t="s">
        <v>100</v>
      </c>
      <c r="B37" s="717"/>
      <c r="C37" s="717"/>
      <c r="D37" s="717"/>
      <c r="E37" s="717"/>
      <c r="F37" s="717"/>
      <c r="G37" s="717"/>
      <c r="H37" s="717"/>
      <c r="I37" s="717"/>
    </row>
    <row r="38" spans="1:9">
      <c r="A38" s="722" t="s">
        <v>460</v>
      </c>
      <c r="B38" s="722"/>
      <c r="C38" s="722"/>
      <c r="D38" s="722"/>
      <c r="E38" s="722"/>
      <c r="F38" s="722"/>
      <c r="G38" s="722"/>
      <c r="H38" s="722"/>
      <c r="I38" s="722"/>
    </row>
    <row r="39" spans="1:9" ht="52" customHeight="1">
      <c r="A39" s="714" t="s">
        <v>461</v>
      </c>
      <c r="B39" s="714"/>
      <c r="C39" s="714"/>
      <c r="D39" s="714"/>
      <c r="E39" s="714"/>
      <c r="F39" s="714"/>
      <c r="G39" s="714"/>
      <c r="H39" s="714"/>
      <c r="I39" s="714"/>
    </row>
    <row r="40" spans="1:9" ht="36" customHeight="1">
      <c r="A40" s="714" t="s">
        <v>462</v>
      </c>
      <c r="B40" s="714"/>
      <c r="C40" s="714"/>
      <c r="D40" s="714"/>
      <c r="E40" s="714"/>
      <c r="F40" s="714"/>
      <c r="G40" s="714"/>
      <c r="H40" s="714"/>
      <c r="I40" s="714"/>
    </row>
    <row r="41" spans="1:9" ht="79" customHeight="1">
      <c r="A41" s="723" t="s">
        <v>444</v>
      </c>
      <c r="B41" s="724"/>
      <c r="C41" s="724"/>
      <c r="D41" s="724"/>
      <c r="E41" s="724"/>
      <c r="F41" s="724"/>
      <c r="G41" s="724"/>
      <c r="H41" s="724"/>
      <c r="I41" s="724"/>
    </row>
    <row r="42" spans="1:9" ht="22" customHeight="1">
      <c r="A42" s="720" t="s">
        <v>421</v>
      </c>
      <c r="B42" s="720"/>
      <c r="C42" s="720"/>
      <c r="D42" s="720"/>
      <c r="E42" s="720"/>
      <c r="F42" s="720"/>
      <c r="G42" s="720"/>
      <c r="H42" s="720"/>
      <c r="I42" s="720"/>
    </row>
    <row r="43" spans="1:9" ht="21" customHeight="1">
      <c r="A43" s="714" t="s">
        <v>463</v>
      </c>
      <c r="B43" s="714"/>
      <c r="C43" s="714"/>
      <c r="D43" s="714"/>
      <c r="E43" s="714"/>
      <c r="F43" s="714"/>
      <c r="G43" s="714"/>
      <c r="H43" s="714"/>
      <c r="I43" s="714"/>
    </row>
    <row r="44" spans="1:9">
      <c r="A44" t="s">
        <v>464</v>
      </c>
    </row>
    <row r="46" spans="1:9" ht="31">
      <c r="A46" s="725" t="s">
        <v>466</v>
      </c>
      <c r="B46" s="725"/>
      <c r="C46" s="725"/>
      <c r="D46" s="725"/>
      <c r="E46" s="725"/>
      <c r="F46" s="725"/>
      <c r="G46" s="725"/>
      <c r="H46" s="725"/>
      <c r="I46" s="725"/>
    </row>
  </sheetData>
  <sheetProtection sheet="1" objects="1" scenarios="1"/>
  <mergeCells count="34">
    <mergeCell ref="A42:I42"/>
    <mergeCell ref="A43:I43"/>
    <mergeCell ref="A46:I46"/>
    <mergeCell ref="A37:I37"/>
    <mergeCell ref="A38:I38"/>
    <mergeCell ref="A39:I39"/>
    <mergeCell ref="A40:I40"/>
    <mergeCell ref="A41:I41"/>
    <mergeCell ref="A32:I32"/>
    <mergeCell ref="A33:I33"/>
    <mergeCell ref="A34:I34"/>
    <mergeCell ref="A35:I35"/>
    <mergeCell ref="A36:I36"/>
    <mergeCell ref="A26:I26"/>
    <mergeCell ref="A27:I27"/>
    <mergeCell ref="A28:I28"/>
    <mergeCell ref="A31:I31"/>
    <mergeCell ref="A18:I18"/>
    <mergeCell ref="A19:I19"/>
    <mergeCell ref="A20:I20"/>
    <mergeCell ref="A21:I21"/>
    <mergeCell ref="A22:I22"/>
    <mergeCell ref="A25:I25"/>
    <mergeCell ref="A17:I17"/>
    <mergeCell ref="A1:J1"/>
    <mergeCell ref="A5:I5"/>
    <mergeCell ref="A8:I8"/>
    <mergeCell ref="A9:I9"/>
    <mergeCell ref="A10:I10"/>
    <mergeCell ref="A11:I11"/>
    <mergeCell ref="A12:I12"/>
    <mergeCell ref="A13:I13"/>
    <mergeCell ref="A14:I14"/>
    <mergeCell ref="A16:I16"/>
  </mergeCells>
  <pageMargins left="0.7" right="0.7" top="0.75" bottom="0.75" header="0.3" footer="0.3"/>
  <pageSetup paperSize="9" scale="5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55E6-8AAA-3746-BA43-39063DA6056A}">
  <sheetPr>
    <tabColor rgb="FFFFFF00"/>
    <pageSetUpPr fitToPage="1"/>
  </sheetPr>
  <dimension ref="A1:J26"/>
  <sheetViews>
    <sheetView workbookViewId="0">
      <selection activeCell="A18" sqref="A18:J18"/>
    </sheetView>
  </sheetViews>
  <sheetFormatPr baseColWidth="10" defaultRowHeight="16"/>
  <sheetData>
    <row r="1" spans="1:10" ht="53" customHeight="1">
      <c r="A1" s="718" t="s">
        <v>422</v>
      </c>
      <c r="B1" s="718"/>
      <c r="C1" s="718"/>
      <c r="D1" s="718"/>
      <c r="E1" s="718"/>
      <c r="F1" s="718"/>
      <c r="G1" s="718"/>
      <c r="H1" s="718"/>
      <c r="I1" s="718"/>
      <c r="J1" s="718"/>
    </row>
    <row r="2" spans="1:10">
      <c r="A2" s="711"/>
      <c r="B2" s="711"/>
      <c r="C2" s="711"/>
      <c r="D2" s="711"/>
      <c r="E2" s="711"/>
      <c r="F2" s="711"/>
      <c r="G2" s="711"/>
      <c r="H2" s="711"/>
      <c r="I2" s="711"/>
      <c r="J2" s="711"/>
    </row>
    <row r="3" spans="1:10" ht="21">
      <c r="A3" s="713" t="s">
        <v>417</v>
      </c>
      <c r="B3" s="713"/>
      <c r="C3" s="713"/>
      <c r="D3" s="713"/>
      <c r="E3" s="713"/>
      <c r="F3" s="713"/>
      <c r="G3" s="713"/>
      <c r="H3" s="713"/>
      <c r="I3" s="713"/>
      <c r="J3" s="713"/>
    </row>
    <row r="4" spans="1:10">
      <c r="A4" s="722" t="s">
        <v>423</v>
      </c>
      <c r="B4" s="722"/>
      <c r="C4" s="722"/>
      <c r="D4" s="722"/>
      <c r="E4" s="722"/>
      <c r="F4" s="722"/>
      <c r="G4" s="722"/>
      <c r="H4" s="722"/>
      <c r="I4" s="722"/>
      <c r="J4" s="722"/>
    </row>
    <row r="5" spans="1:10">
      <c r="A5" s="722" t="s">
        <v>424</v>
      </c>
      <c r="B5" s="722"/>
      <c r="C5" s="722"/>
      <c r="D5" s="722"/>
      <c r="E5" s="722"/>
      <c r="F5" s="722"/>
      <c r="G5" s="722"/>
      <c r="H5" s="722"/>
      <c r="I5" s="722"/>
      <c r="J5" s="722"/>
    </row>
    <row r="6" spans="1:10">
      <c r="A6" s="722"/>
      <c r="B6" s="722"/>
      <c r="C6" s="722"/>
      <c r="D6" s="722"/>
      <c r="E6" s="722"/>
      <c r="F6" s="722"/>
      <c r="G6" s="722"/>
      <c r="H6" s="722"/>
      <c r="I6" s="722"/>
      <c r="J6" s="722"/>
    </row>
    <row r="7" spans="1:10" ht="21">
      <c r="A7" s="713" t="s">
        <v>418</v>
      </c>
      <c r="B7" s="713"/>
      <c r="C7" s="713"/>
      <c r="D7" s="713"/>
      <c r="E7" s="713"/>
      <c r="F7" s="713"/>
      <c r="G7" s="713"/>
      <c r="H7" s="713"/>
      <c r="I7" s="713"/>
      <c r="J7" s="713"/>
    </row>
    <row r="8" spans="1:10" ht="86" customHeight="1">
      <c r="A8" s="714" t="s">
        <v>426</v>
      </c>
      <c r="B8" s="714"/>
      <c r="C8" s="714"/>
      <c r="D8" s="714"/>
      <c r="E8" s="714"/>
      <c r="F8" s="714"/>
      <c r="G8" s="714"/>
      <c r="H8" s="714"/>
      <c r="I8" s="714"/>
      <c r="J8" s="714"/>
    </row>
    <row r="9" spans="1:10" ht="17" customHeight="1">
      <c r="A9" s="714" t="s">
        <v>425</v>
      </c>
      <c r="B9" s="714"/>
      <c r="C9" s="714"/>
      <c r="D9" s="714"/>
      <c r="E9" s="714"/>
      <c r="F9" s="714"/>
      <c r="G9" s="714"/>
      <c r="H9" s="714"/>
      <c r="I9" s="714"/>
      <c r="J9" s="714"/>
    </row>
    <row r="10" spans="1:10">
      <c r="A10" s="722"/>
      <c r="B10" s="722"/>
      <c r="C10" s="722"/>
      <c r="D10" s="722"/>
      <c r="E10" s="722"/>
      <c r="F10" s="722"/>
      <c r="G10" s="722"/>
      <c r="H10" s="722"/>
      <c r="I10" s="722"/>
      <c r="J10" s="722"/>
    </row>
    <row r="11" spans="1:10" ht="21">
      <c r="A11" s="713" t="s">
        <v>419</v>
      </c>
      <c r="B11" s="713"/>
      <c r="C11" s="713"/>
      <c r="D11" s="713"/>
      <c r="E11" s="713"/>
      <c r="F11" s="713"/>
      <c r="G11" s="713"/>
      <c r="H11" s="713"/>
      <c r="I11" s="713"/>
      <c r="J11" s="713"/>
    </row>
    <row r="12" spans="1:10">
      <c r="A12" s="722" t="s">
        <v>427</v>
      </c>
      <c r="B12" s="722"/>
      <c r="C12" s="722"/>
      <c r="D12" s="722"/>
      <c r="E12" s="722"/>
      <c r="F12" s="722"/>
      <c r="G12" s="722"/>
      <c r="H12" s="722"/>
      <c r="I12" s="722"/>
      <c r="J12" s="722"/>
    </row>
    <row r="13" spans="1:10">
      <c r="A13" s="722" t="s">
        <v>420</v>
      </c>
      <c r="B13" s="722"/>
      <c r="C13" s="722"/>
      <c r="D13" s="722"/>
      <c r="E13" s="722"/>
      <c r="F13" s="722"/>
      <c r="G13" s="722"/>
      <c r="H13" s="722"/>
      <c r="I13" s="722"/>
      <c r="J13" s="722"/>
    </row>
    <row r="14" spans="1:10">
      <c r="A14" s="722"/>
      <c r="B14" s="722"/>
      <c r="C14" s="722"/>
      <c r="D14" s="722"/>
      <c r="E14" s="722"/>
      <c r="F14" s="722"/>
      <c r="G14" s="722"/>
      <c r="H14" s="722"/>
      <c r="I14" s="722"/>
      <c r="J14" s="722"/>
    </row>
    <row r="15" spans="1:10" ht="21">
      <c r="A15" s="713" t="s">
        <v>421</v>
      </c>
      <c r="B15" s="713"/>
      <c r="C15" s="713"/>
      <c r="D15" s="713"/>
      <c r="E15" s="713"/>
      <c r="F15" s="713"/>
      <c r="G15" s="713"/>
      <c r="H15" s="713"/>
      <c r="I15" s="713"/>
      <c r="J15" s="713"/>
    </row>
    <row r="16" spans="1:10" ht="19" customHeight="1">
      <c r="A16" s="728" t="s">
        <v>428</v>
      </c>
      <c r="B16" s="728"/>
      <c r="C16" s="728"/>
      <c r="D16" s="728"/>
      <c r="E16" s="728"/>
      <c r="F16" s="728"/>
      <c r="G16" s="728"/>
      <c r="H16" s="728"/>
      <c r="I16" s="728"/>
      <c r="J16" s="728"/>
    </row>
    <row r="17" spans="1:10" ht="164" customHeight="1">
      <c r="A17" s="714" t="s">
        <v>488</v>
      </c>
      <c r="B17" s="714"/>
      <c r="C17" s="714"/>
      <c r="D17" s="714"/>
      <c r="E17" s="714"/>
      <c r="F17" s="714"/>
      <c r="G17" s="714"/>
      <c r="H17" s="714"/>
      <c r="I17" s="714"/>
      <c r="J17" s="714"/>
    </row>
    <row r="18" spans="1:10" ht="40" customHeight="1">
      <c r="A18" s="726" t="s">
        <v>431</v>
      </c>
      <c r="B18" s="727"/>
      <c r="C18" s="727"/>
      <c r="D18" s="727"/>
      <c r="E18" s="727"/>
      <c r="F18" s="727"/>
      <c r="G18" s="727"/>
      <c r="H18" s="727"/>
      <c r="I18" s="727"/>
      <c r="J18" s="727"/>
    </row>
    <row r="19" spans="1:10" ht="68" customHeight="1">
      <c r="A19" s="726" t="s">
        <v>432</v>
      </c>
      <c r="B19" s="726"/>
      <c r="C19" s="726"/>
      <c r="D19" s="726"/>
      <c r="E19" s="726"/>
      <c r="F19" s="726"/>
      <c r="G19" s="726"/>
      <c r="H19" s="726"/>
      <c r="I19" s="726"/>
      <c r="J19" s="726"/>
    </row>
    <row r="20" spans="1:10" ht="90" customHeight="1">
      <c r="A20" s="726" t="s">
        <v>433</v>
      </c>
      <c r="B20" s="726"/>
      <c r="C20" s="726"/>
      <c r="D20" s="726"/>
      <c r="E20" s="726"/>
      <c r="F20" s="726"/>
      <c r="G20" s="726"/>
      <c r="H20" s="726"/>
      <c r="I20" s="726"/>
      <c r="J20" s="726"/>
    </row>
    <row r="21" spans="1:10" ht="40" customHeight="1">
      <c r="A21" s="726" t="s">
        <v>430</v>
      </c>
      <c r="B21" s="727"/>
      <c r="C21" s="727"/>
      <c r="D21" s="727"/>
      <c r="E21" s="727"/>
      <c r="F21" s="727"/>
      <c r="G21" s="727"/>
      <c r="H21" s="727"/>
      <c r="I21" s="727"/>
      <c r="J21" s="727"/>
    </row>
    <row r="22" spans="1:10">
      <c r="A22" s="722"/>
      <c r="B22" s="722"/>
      <c r="C22" s="722"/>
      <c r="D22" s="722"/>
      <c r="E22" s="722"/>
      <c r="F22" s="722"/>
      <c r="G22" s="722"/>
      <c r="H22" s="722"/>
      <c r="I22" s="722"/>
      <c r="J22" s="722"/>
    </row>
    <row r="23" spans="1:10" ht="21">
      <c r="A23" s="716" t="s">
        <v>465</v>
      </c>
      <c r="B23" s="716"/>
      <c r="C23" s="716"/>
      <c r="D23" s="716"/>
      <c r="E23" s="716"/>
      <c r="F23" s="716"/>
      <c r="G23" s="716"/>
      <c r="H23" s="716"/>
      <c r="I23" s="716"/>
      <c r="J23" s="716"/>
    </row>
    <row r="24" spans="1:10">
      <c r="A24" s="729"/>
      <c r="B24" s="729"/>
      <c r="C24" s="729"/>
      <c r="D24" s="729"/>
      <c r="E24" s="729"/>
      <c r="F24" s="729"/>
      <c r="G24" s="729"/>
      <c r="H24" s="729"/>
      <c r="I24" s="729"/>
      <c r="J24" s="729"/>
    </row>
    <row r="25" spans="1:10">
      <c r="A25" s="714"/>
      <c r="B25" s="714"/>
      <c r="C25" s="714"/>
      <c r="D25" s="714"/>
      <c r="E25" s="714"/>
      <c r="F25" s="714"/>
      <c r="G25" s="714"/>
      <c r="H25" s="714"/>
      <c r="I25" s="714"/>
      <c r="J25" s="714"/>
    </row>
    <row r="26" spans="1:10">
      <c r="A26" s="714"/>
      <c r="B26" s="714"/>
      <c r="C26" s="714"/>
      <c r="D26" s="714"/>
      <c r="E26" s="714"/>
      <c r="F26" s="714"/>
      <c r="G26" s="714"/>
      <c r="H26" s="714"/>
      <c r="I26" s="714"/>
      <c r="J26" s="714"/>
    </row>
  </sheetData>
  <sheetProtection sheet="1" objects="1" scenarios="1"/>
  <mergeCells count="26">
    <mergeCell ref="A26:J26"/>
    <mergeCell ref="A21:J21"/>
    <mergeCell ref="A19:J19"/>
    <mergeCell ref="A20:J20"/>
    <mergeCell ref="A15:J15"/>
    <mergeCell ref="A16:J16"/>
    <mergeCell ref="A17:J17"/>
    <mergeCell ref="A18:J18"/>
    <mergeCell ref="A22:J22"/>
    <mergeCell ref="A23:J23"/>
    <mergeCell ref="A24:J24"/>
    <mergeCell ref="A25:J25"/>
    <mergeCell ref="A14:J14"/>
    <mergeCell ref="A12:J12"/>
    <mergeCell ref="A1:J1"/>
    <mergeCell ref="A2:J2"/>
    <mergeCell ref="A3:J3"/>
    <mergeCell ref="A5:J5"/>
    <mergeCell ref="A6:J6"/>
    <mergeCell ref="A7:J7"/>
    <mergeCell ref="A4:J4"/>
    <mergeCell ref="A8:J8"/>
    <mergeCell ref="A10:J10"/>
    <mergeCell ref="A11:J11"/>
    <mergeCell ref="A13:J13"/>
    <mergeCell ref="A9:J9"/>
  </mergeCells>
  <pageMargins left="0.7" right="0.7" top="0.75" bottom="0.75" header="0.3" footer="0.3"/>
  <pageSetup paperSize="9" scale="76"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R27"/>
  <sheetViews>
    <sheetView tabSelected="1" topLeftCell="A5" zoomScale="114" workbookViewId="0">
      <selection activeCell="E21" sqref="E21:H21"/>
    </sheetView>
  </sheetViews>
  <sheetFormatPr baseColWidth="10" defaultRowHeight="16"/>
  <cols>
    <col min="4" max="4" width="23.83203125" customWidth="1"/>
    <col min="9" max="9" width="71.5" hidden="1" customWidth="1"/>
    <col min="10" max="18" width="10.83203125" hidden="1" customWidth="1"/>
  </cols>
  <sheetData>
    <row r="1" spans="1:12" ht="80" customHeight="1">
      <c r="A1" s="715"/>
      <c r="B1" s="715"/>
      <c r="C1" s="746" t="s">
        <v>280</v>
      </c>
      <c r="D1" s="746"/>
      <c r="E1" s="746"/>
      <c r="F1" s="746"/>
      <c r="G1" s="746"/>
      <c r="H1" s="746"/>
    </row>
    <row r="2" spans="1:12" ht="143" customHeight="1">
      <c r="A2" s="715"/>
      <c r="B2" s="715"/>
      <c r="C2" s="746" t="s">
        <v>396</v>
      </c>
      <c r="D2" s="746"/>
      <c r="E2" s="746"/>
      <c r="F2" s="746"/>
      <c r="G2" s="746"/>
      <c r="H2" s="746"/>
    </row>
    <row r="3" spans="1:12" ht="178" customHeight="1">
      <c r="A3" s="715"/>
      <c r="B3" s="715"/>
      <c r="C3" s="746" t="s">
        <v>484</v>
      </c>
      <c r="D3" s="746"/>
      <c r="E3" s="746"/>
      <c r="F3" s="746"/>
      <c r="G3" s="746"/>
      <c r="H3" s="746"/>
    </row>
    <row r="4" spans="1:12" ht="145" customHeight="1">
      <c r="A4" s="715"/>
      <c r="B4" s="715"/>
      <c r="C4" s="746" t="s">
        <v>397</v>
      </c>
      <c r="D4" s="746"/>
      <c r="E4" s="746"/>
      <c r="F4" s="746"/>
      <c r="G4" s="746"/>
      <c r="H4" s="746"/>
    </row>
    <row r="5" spans="1:12" ht="59" customHeight="1">
      <c r="A5" s="715"/>
      <c r="B5" s="715"/>
      <c r="C5" s="746"/>
      <c r="D5" s="746"/>
      <c r="E5" s="746"/>
      <c r="F5" s="746"/>
      <c r="G5" s="746"/>
      <c r="H5" s="746"/>
    </row>
    <row r="6" spans="1:12" ht="27" customHeight="1" thickBot="1">
      <c r="A6" s="735" t="s">
        <v>496</v>
      </c>
      <c r="B6" s="735"/>
      <c r="C6" s="735"/>
      <c r="D6" s="735"/>
      <c r="E6" s="735"/>
      <c r="F6" s="735"/>
      <c r="G6" s="735"/>
      <c r="H6" s="735"/>
    </row>
    <row r="7" spans="1:12" ht="48" customHeight="1" thickBot="1">
      <c r="A7" s="751" t="s">
        <v>493</v>
      </c>
      <c r="B7" s="752"/>
      <c r="C7" s="753" t="s">
        <v>469</v>
      </c>
      <c r="D7" s="754"/>
      <c r="E7" s="731" t="s">
        <v>495</v>
      </c>
      <c r="F7" s="732"/>
      <c r="G7" s="733" t="s">
        <v>161</v>
      </c>
      <c r="H7" s="734"/>
    </row>
    <row r="8" spans="1:12" ht="30" customHeight="1" thickBot="1">
      <c r="A8" s="730" t="s">
        <v>117</v>
      </c>
      <c r="B8" s="730"/>
      <c r="C8" s="730" t="s">
        <v>119</v>
      </c>
      <c r="D8" s="730"/>
      <c r="E8" s="730" t="s">
        <v>120</v>
      </c>
      <c r="F8" s="730"/>
      <c r="G8" s="730" t="s">
        <v>121</v>
      </c>
      <c r="H8" s="730"/>
    </row>
    <row r="9" spans="1:12" ht="30" customHeight="1" thickBot="1">
      <c r="A9" s="730" t="s">
        <v>130</v>
      </c>
      <c r="B9" s="730"/>
      <c r="C9" s="730" t="s">
        <v>131</v>
      </c>
      <c r="D9" s="730"/>
      <c r="E9" s="730" t="s">
        <v>132</v>
      </c>
      <c r="F9" s="730"/>
      <c r="G9" s="730" t="s">
        <v>133</v>
      </c>
      <c r="H9" s="730"/>
    </row>
    <row r="10" spans="1:12" ht="30" customHeight="1" thickBot="1">
      <c r="A10" s="730" t="s">
        <v>134</v>
      </c>
      <c r="B10" s="730"/>
      <c r="C10" s="730" t="s">
        <v>135</v>
      </c>
      <c r="D10" s="730"/>
      <c r="E10" s="730" t="s">
        <v>136</v>
      </c>
      <c r="F10" s="730"/>
      <c r="G10" s="730" t="s">
        <v>137</v>
      </c>
      <c r="H10" s="730"/>
    </row>
    <row r="11" spans="1:12" ht="24">
      <c r="A11" s="760" t="s">
        <v>154</v>
      </c>
      <c r="B11" s="763" t="s">
        <v>4</v>
      </c>
      <c r="C11" s="764"/>
      <c r="D11" s="764"/>
      <c r="E11" s="764"/>
      <c r="F11" s="764"/>
      <c r="G11" s="764"/>
      <c r="H11" s="765"/>
    </row>
    <row r="12" spans="1:12" ht="32" customHeight="1">
      <c r="A12" s="761"/>
      <c r="B12" s="202" t="s">
        <v>57</v>
      </c>
      <c r="C12" s="203"/>
      <c r="D12" s="203"/>
      <c r="E12" s="203"/>
      <c r="F12" s="203" t="str">
        <f>Vejledning!B2</f>
        <v>2025-2026</v>
      </c>
      <c r="G12" s="203"/>
      <c r="H12" s="204"/>
    </row>
    <row r="13" spans="1:12">
      <c r="A13" s="761"/>
      <c r="B13" s="766" t="s">
        <v>209</v>
      </c>
      <c r="C13" s="766"/>
      <c r="D13" s="766"/>
      <c r="E13" s="767"/>
      <c r="F13" s="768"/>
      <c r="G13" s="768"/>
      <c r="H13" s="769"/>
      <c r="L13" t="s">
        <v>104</v>
      </c>
    </row>
    <row r="14" spans="1:12">
      <c r="A14" s="761"/>
      <c r="B14" s="766" t="s">
        <v>50</v>
      </c>
      <c r="C14" s="766"/>
      <c r="D14" s="766"/>
      <c r="E14" s="767"/>
      <c r="F14" s="768"/>
      <c r="G14" s="768"/>
      <c r="H14" s="769"/>
      <c r="L14" t="s">
        <v>105</v>
      </c>
    </row>
    <row r="15" spans="1:12">
      <c r="A15" s="761"/>
      <c r="B15" s="770" t="s">
        <v>26</v>
      </c>
      <c r="C15" s="771"/>
      <c r="D15" s="772"/>
      <c r="E15" s="779" t="s">
        <v>24</v>
      </c>
      <c r="F15" s="780"/>
      <c r="G15" s="779" t="s">
        <v>25</v>
      </c>
      <c r="H15" s="781"/>
      <c r="L15" t="s">
        <v>368</v>
      </c>
    </row>
    <row r="16" spans="1:12">
      <c r="A16" s="761"/>
      <c r="B16" s="773"/>
      <c r="C16" s="774"/>
      <c r="D16" s="775"/>
      <c r="E16" s="743" t="s">
        <v>148</v>
      </c>
      <c r="F16" s="744"/>
      <c r="G16" s="743" t="str">
        <f>E16</f>
        <v>Dato format dd.mm.åååå</v>
      </c>
      <c r="H16" s="745"/>
      <c r="L16" t="s">
        <v>212</v>
      </c>
    </row>
    <row r="17" spans="1:18">
      <c r="A17" s="761"/>
      <c r="B17" s="776"/>
      <c r="C17" s="777"/>
      <c r="D17" s="778"/>
      <c r="E17" s="739"/>
      <c r="F17" s="750"/>
      <c r="G17" s="739"/>
      <c r="H17" s="741"/>
      <c r="L17" t="s">
        <v>213</v>
      </c>
    </row>
    <row r="18" spans="1:18" ht="32" customHeight="1">
      <c r="A18" s="761"/>
      <c r="B18" s="736" t="s">
        <v>211</v>
      </c>
      <c r="C18" s="737"/>
      <c r="D18" s="738"/>
      <c r="E18" s="782"/>
      <c r="F18" s="783"/>
      <c r="G18" s="783"/>
      <c r="H18" s="784"/>
      <c r="L18" t="s">
        <v>284</v>
      </c>
      <c r="O18" t="s">
        <v>214</v>
      </c>
      <c r="R18" t="s">
        <v>216</v>
      </c>
    </row>
    <row r="19" spans="1:18">
      <c r="A19" s="761"/>
      <c r="B19" s="736" t="s">
        <v>242</v>
      </c>
      <c r="C19" s="737"/>
      <c r="D19" s="738"/>
      <c r="E19" s="739"/>
      <c r="F19" s="740"/>
      <c r="G19" s="740"/>
      <c r="H19" s="741"/>
      <c r="L19" t="s">
        <v>283</v>
      </c>
    </row>
    <row r="20" spans="1:18" ht="40" customHeight="1">
      <c r="A20" s="761"/>
      <c r="B20" s="736" t="s">
        <v>215</v>
      </c>
      <c r="C20" s="737"/>
      <c r="D20" s="738"/>
      <c r="E20" s="756"/>
      <c r="F20" s="757"/>
      <c r="G20" s="757"/>
      <c r="H20" s="758"/>
      <c r="L20" t="s">
        <v>210</v>
      </c>
    </row>
    <row r="21" spans="1:18" ht="35" customHeight="1" thickBot="1">
      <c r="A21" s="762"/>
      <c r="B21" s="742" t="s">
        <v>185</v>
      </c>
      <c r="C21" s="742"/>
      <c r="D21" s="742"/>
      <c r="E21" s="747"/>
      <c r="F21" s="748"/>
      <c r="G21" s="748"/>
      <c r="H21" s="749"/>
      <c r="I21" s="33" t="s">
        <v>104</v>
      </c>
    </row>
    <row r="22" spans="1:18" ht="30" customHeight="1">
      <c r="A22" s="759"/>
      <c r="B22" s="759"/>
      <c r="C22" s="759"/>
      <c r="D22" s="759"/>
      <c r="E22" s="759"/>
      <c r="F22" s="759"/>
      <c r="G22" s="759"/>
      <c r="H22" s="759"/>
    </row>
    <row r="23" spans="1:18" ht="16" customHeight="1">
      <c r="A23" s="711"/>
      <c r="B23" s="711"/>
      <c r="C23" s="755" t="s">
        <v>285</v>
      </c>
      <c r="D23" s="755"/>
      <c r="E23" s="755"/>
      <c r="F23" s="755"/>
      <c r="G23" s="755"/>
      <c r="H23" s="755"/>
    </row>
    <row r="24" spans="1:18" ht="16" customHeight="1">
      <c r="A24" s="711"/>
      <c r="B24" s="711"/>
      <c r="C24" s="755"/>
      <c r="D24" s="755"/>
      <c r="E24" s="755"/>
      <c r="F24" s="755"/>
      <c r="G24" s="755"/>
      <c r="H24" s="755"/>
    </row>
    <row r="25" spans="1:18" ht="31" customHeight="1">
      <c r="A25" s="711"/>
      <c r="B25" s="711"/>
      <c r="C25" s="755"/>
      <c r="D25" s="755"/>
      <c r="E25" s="755"/>
      <c r="F25" s="755"/>
      <c r="G25" s="755"/>
      <c r="H25" s="755"/>
    </row>
    <row r="26" spans="1:18" ht="16" customHeight="1">
      <c r="A26" s="711"/>
      <c r="B26" s="711"/>
      <c r="C26" s="755"/>
      <c r="D26" s="755"/>
      <c r="E26" s="755"/>
      <c r="F26" s="755"/>
      <c r="G26" s="755"/>
      <c r="H26" s="755"/>
    </row>
    <row r="27" spans="1:18">
      <c r="A27" s="711"/>
      <c r="B27" s="711"/>
      <c r="C27" s="755"/>
      <c r="D27" s="755"/>
      <c r="E27" s="755"/>
      <c r="F27" s="755"/>
      <c r="G27" s="755"/>
      <c r="H27" s="755"/>
    </row>
  </sheetData>
  <sheetProtection sheet="1" objects="1" scenarios="1"/>
  <mergeCells count="47">
    <mergeCell ref="C23:H27"/>
    <mergeCell ref="A23:B27"/>
    <mergeCell ref="B20:D20"/>
    <mergeCell ref="E20:H20"/>
    <mergeCell ref="A22:H22"/>
    <mergeCell ref="A11:A21"/>
    <mergeCell ref="B11:H11"/>
    <mergeCell ref="B13:D13"/>
    <mergeCell ref="E13:H13"/>
    <mergeCell ref="B14:D14"/>
    <mergeCell ref="E14:H14"/>
    <mergeCell ref="B15:D17"/>
    <mergeCell ref="E15:F15"/>
    <mergeCell ref="G15:H15"/>
    <mergeCell ref="B18:D18"/>
    <mergeCell ref="E18:H18"/>
    <mergeCell ref="B19:D19"/>
    <mergeCell ref="E19:H19"/>
    <mergeCell ref="B21:D21"/>
    <mergeCell ref="A1:B5"/>
    <mergeCell ref="E16:F16"/>
    <mergeCell ref="G16:H16"/>
    <mergeCell ref="C3:H3"/>
    <mergeCell ref="E21:H21"/>
    <mergeCell ref="E17:F17"/>
    <mergeCell ref="G17:H17"/>
    <mergeCell ref="C2:H2"/>
    <mergeCell ref="C1:H1"/>
    <mergeCell ref="C4:H4"/>
    <mergeCell ref="C5:H5"/>
    <mergeCell ref="A7:B7"/>
    <mergeCell ref="C7:D7"/>
    <mergeCell ref="E7:F7"/>
    <mergeCell ref="G7:H7"/>
    <mergeCell ref="A6:H6"/>
    <mergeCell ref="A8:B8"/>
    <mergeCell ref="C8:D8"/>
    <mergeCell ref="E8:F8"/>
    <mergeCell ref="G8:H8"/>
    <mergeCell ref="A9:B9"/>
    <mergeCell ref="C9:D9"/>
    <mergeCell ref="E9:F9"/>
    <mergeCell ref="G9:H9"/>
    <mergeCell ref="A10:B10"/>
    <mergeCell ref="C10:D10"/>
    <mergeCell ref="E10:F10"/>
    <mergeCell ref="G10:H10"/>
  </mergeCells>
  <conditionalFormatting sqref="E20:H20">
    <cfRule type="expression" dxfId="1575" priority="1">
      <formula>OR(E18="Ikke omfattet af overenskomst - ansat med en fast årsnorm",)</formula>
    </cfRule>
  </conditionalFormatting>
  <dataValidations count="2">
    <dataValidation type="list" allowBlank="1" showInputMessage="1" showErrorMessage="1" sqref="E18:H18" xr:uid="{773BCBF2-B6AA-FF4D-8995-0A25515213BE}">
      <formula1>$L$15:$L$19</formula1>
    </dataValidation>
    <dataValidation type="list" allowBlank="1" showInputMessage="1" showErrorMessage="1" sqref="E19:H19" xr:uid="{50D197E4-44E4-5748-98AD-94AC139EABDE}">
      <formula1>$L$13:$L$14</formula1>
    </dataValidation>
  </dataValidations>
  <hyperlinks>
    <hyperlink ref="A7:B7" location="'Normal uger'!A11" display="Normale uger" xr:uid="{1171FE1E-407A-0341-A9CB-22924872BB8B}"/>
    <hyperlink ref="C7:D7" location="Rul!B20" display="Rul" xr:uid="{7D708D63-E01A-F14B-9104-93C752AEE562}"/>
    <hyperlink ref="E7:F7" location="Arbejdstidsoversigt!A19" display="Arbejdstids-oversigt" xr:uid="{5FB46F65-A746-884D-A26C-B446857BB74D}"/>
    <hyperlink ref="G7:H7" location="Opgørelse!B12" display="Opgørelse" xr:uid="{568A9763-77E7-2040-9062-1861F353518B}"/>
    <hyperlink ref="A8:B8" location="August!A12" display="August" xr:uid="{014D1697-D50A-B44A-B5AC-964B1DAB9B6A}"/>
    <hyperlink ref="C8:D8" location="September!A8" display="September" xr:uid="{9771AB4E-6120-414E-BEF0-CC1EE910387C}"/>
    <hyperlink ref="E8:F8" location="Oktober!A8" display="Oktober" xr:uid="{E4B7F1F7-B7D3-CE43-9C42-4E25923AABC9}"/>
    <hyperlink ref="G8:H8" location="November!A8" display="November" xr:uid="{5071057B-D4AB-3F4F-AB3B-1774219975B7}"/>
    <hyperlink ref="A9:B9" location="December!A8" display="December" xr:uid="{689ECB47-0B93-2E42-8052-D221A145B899}"/>
    <hyperlink ref="C9:D9" location="Januar!A8" display="Januar" xr:uid="{645D7501-4621-8B47-8447-EA87CD2D0921}"/>
    <hyperlink ref="E9:F9" location="Februar!A8" display="Februar" xr:uid="{3258A57D-D873-6A42-A2C8-98824036533D}"/>
    <hyperlink ref="A10:B10" location="April!A8" display="April" xr:uid="{5CBF5485-620F-FF49-9DC5-36655CC9F4DE}"/>
    <hyperlink ref="C10:D10" location="Maj!A8" display="Maj" xr:uid="{7F80FEF0-44AB-A04F-9686-31B0CC5E277A}"/>
    <hyperlink ref="E10:F10" location="Juni!A8" display="Juni" xr:uid="{973C2B0A-E941-BF4E-9516-B6D4F22A640A}"/>
    <hyperlink ref="G10:H10" location="Juli!A8" display="Juli" xr:uid="{DD360A9C-5BF4-DF4D-A9A2-D92EE5556EBB}"/>
    <hyperlink ref="G9:H9" location="Marts!A8" display="Marts" xr:uid="{E8BA7500-DA20-1F42-B476-2E698044E846}"/>
  </hyperlinks>
  <pageMargins left="0.7" right="0.7" top="0.75" bottom="0.75" header="0.3" footer="0.3"/>
  <pageSetup paperSize="9" scale="82"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CE103"/>
  <sheetViews>
    <sheetView showZeros="0" topLeftCell="A4" zoomScaleNormal="100" zoomScaleSheetLayoutView="100" workbookViewId="0">
      <selection activeCell="A8" sqref="A8:M8"/>
    </sheetView>
  </sheetViews>
  <sheetFormatPr baseColWidth="10" defaultRowHeight="16"/>
  <cols>
    <col min="1" max="1" width="16.1640625" customWidth="1"/>
    <col min="4" max="4" width="4.1640625" customWidth="1"/>
    <col min="5" max="5" width="11.6640625" customWidth="1"/>
    <col min="6" max="6" width="4.1640625" customWidth="1"/>
    <col min="8" max="8" width="4" customWidth="1"/>
    <col min="10" max="10" width="4.1640625" customWidth="1"/>
    <col min="12" max="12" width="4.1640625" customWidth="1"/>
    <col min="15" max="15" width="16.1640625" customWidth="1"/>
    <col min="16" max="16" width="10.83203125" customWidth="1"/>
    <col min="18" max="18" width="4.1640625" customWidth="1"/>
    <col min="20" max="20" width="4.1640625" customWidth="1"/>
    <col min="22" max="22" width="4.1640625" customWidth="1"/>
    <col min="24" max="24" width="4.1640625" customWidth="1"/>
    <col min="26" max="26" width="4.1640625" customWidth="1"/>
    <col min="29" max="29" width="16.1640625" customWidth="1"/>
    <col min="32" max="32" width="4.1640625" customWidth="1"/>
    <col min="34" max="34" width="4.1640625" customWidth="1"/>
    <col min="36" max="36" width="4.1640625" customWidth="1"/>
    <col min="38" max="38" width="4.1640625" customWidth="1"/>
    <col min="40" max="40" width="4.1640625" customWidth="1"/>
    <col min="43" max="43" width="16.1640625" customWidth="1"/>
    <col min="46" max="46" width="4.1640625" customWidth="1"/>
    <col min="48" max="48" width="4.1640625" customWidth="1"/>
    <col min="50" max="50" width="4.1640625" customWidth="1"/>
    <col min="52" max="52" width="4.1640625" customWidth="1"/>
    <col min="54" max="54" width="4.1640625" customWidth="1"/>
    <col min="57" max="57" width="16.1640625" customWidth="1"/>
    <col min="60" max="60" width="4.1640625" customWidth="1"/>
    <col min="62" max="62" width="4.1640625" customWidth="1"/>
    <col min="64" max="64" width="4.1640625" customWidth="1"/>
    <col min="66" max="66" width="4.1640625" customWidth="1"/>
    <col min="68" max="68" width="4.1640625" customWidth="1"/>
    <col min="71" max="71" width="16.1640625" customWidth="1"/>
    <col min="74" max="74" width="4.1640625" customWidth="1"/>
    <col min="75" max="75" width="12.5" bestFit="1" customWidth="1"/>
    <col min="76" max="76" width="4.1640625" customWidth="1"/>
    <col min="78" max="78" width="4.1640625" customWidth="1"/>
    <col min="80" max="80" width="4.1640625" customWidth="1"/>
    <col min="82" max="82" width="4.1640625" customWidth="1"/>
  </cols>
  <sheetData>
    <row r="1" spans="1:83" ht="182" customHeight="1">
      <c r="C1" s="824" t="s">
        <v>485</v>
      </c>
      <c r="D1" s="824"/>
      <c r="E1" s="824"/>
      <c r="F1" s="824"/>
      <c r="G1" s="824"/>
      <c r="H1" s="824"/>
      <c r="I1" s="824"/>
      <c r="J1" s="824"/>
      <c r="K1" s="824"/>
      <c r="L1" s="824"/>
      <c r="M1" s="824"/>
      <c r="N1" s="824"/>
      <c r="O1" s="824"/>
      <c r="P1" s="824"/>
      <c r="Q1" s="824"/>
      <c r="R1" s="824"/>
      <c r="S1" s="824"/>
      <c r="T1" s="824"/>
      <c r="AP1" s="33"/>
    </row>
    <row r="2" spans="1:83" ht="50" customHeight="1">
      <c r="C2" s="824" t="s">
        <v>164</v>
      </c>
      <c r="D2" s="824"/>
      <c r="E2" s="824"/>
      <c r="F2" s="824"/>
      <c r="G2" s="824"/>
      <c r="H2" s="824"/>
      <c r="I2" s="824"/>
      <c r="J2" s="824"/>
      <c r="K2" s="824"/>
      <c r="L2" s="824"/>
      <c r="M2" s="824"/>
      <c r="N2" s="824"/>
      <c r="O2" s="824"/>
      <c r="P2" s="824"/>
      <c r="Q2" s="824"/>
      <c r="R2" s="824"/>
      <c r="S2" s="824"/>
      <c r="T2" s="824"/>
      <c r="AP2" s="33"/>
    </row>
    <row r="3" spans="1:83" ht="50" customHeight="1" thickBot="1">
      <c r="A3" s="735" t="s">
        <v>496</v>
      </c>
      <c r="B3" s="735"/>
      <c r="C3" s="735"/>
      <c r="D3" s="735"/>
      <c r="E3" s="735"/>
      <c r="F3" s="735"/>
      <c r="G3" s="735"/>
      <c r="H3" s="735"/>
      <c r="I3" s="600"/>
      <c r="J3" s="600"/>
      <c r="K3" s="600"/>
      <c r="L3" s="600"/>
      <c r="M3" s="600"/>
      <c r="N3" s="600"/>
      <c r="O3" s="600"/>
      <c r="P3" s="600"/>
      <c r="Q3" s="600"/>
      <c r="R3" s="600"/>
      <c r="S3" s="600"/>
      <c r="T3" s="600"/>
      <c r="AP3" s="33"/>
    </row>
    <row r="4" spans="1:83" ht="50" customHeight="1" thickBot="1">
      <c r="A4" s="785" t="s">
        <v>492</v>
      </c>
      <c r="B4" s="786"/>
      <c r="C4" s="753" t="s">
        <v>469</v>
      </c>
      <c r="D4" s="754"/>
      <c r="E4" s="731" t="s">
        <v>495</v>
      </c>
      <c r="F4" s="732"/>
      <c r="G4" s="733" t="s">
        <v>161</v>
      </c>
      <c r="H4" s="734"/>
      <c r="I4" s="600"/>
      <c r="J4" s="600"/>
      <c r="K4" s="600"/>
      <c r="L4" s="600"/>
      <c r="M4" s="600"/>
      <c r="N4" s="600"/>
      <c r="O4" s="600"/>
      <c r="P4" s="600"/>
      <c r="Q4" s="600"/>
      <c r="R4" s="600"/>
      <c r="S4" s="600"/>
      <c r="T4" s="600"/>
      <c r="AP4" s="33"/>
    </row>
    <row r="5" spans="1:83" ht="30" customHeight="1" thickBot="1">
      <c r="A5" s="730" t="s">
        <v>117</v>
      </c>
      <c r="B5" s="730"/>
      <c r="C5" s="730" t="s">
        <v>119</v>
      </c>
      <c r="D5" s="730"/>
      <c r="E5" s="730" t="s">
        <v>120</v>
      </c>
      <c r="F5" s="730"/>
      <c r="G5" s="730" t="s">
        <v>121</v>
      </c>
      <c r="H5" s="730"/>
      <c r="I5" s="600"/>
      <c r="J5" s="600"/>
      <c r="K5" s="600"/>
      <c r="L5" s="600"/>
      <c r="M5" s="600"/>
      <c r="N5" s="600"/>
      <c r="O5" s="600"/>
      <c r="P5" s="600"/>
      <c r="Q5" s="600"/>
      <c r="R5" s="600"/>
      <c r="S5" s="600"/>
      <c r="T5" s="600"/>
      <c r="AP5" s="33"/>
    </row>
    <row r="6" spans="1:83" ht="30" customHeight="1" thickBot="1">
      <c r="A6" s="730" t="s">
        <v>130</v>
      </c>
      <c r="B6" s="730"/>
      <c r="C6" s="730" t="s">
        <v>131</v>
      </c>
      <c r="D6" s="730"/>
      <c r="E6" s="730" t="s">
        <v>132</v>
      </c>
      <c r="F6" s="730"/>
      <c r="G6" s="730" t="s">
        <v>133</v>
      </c>
      <c r="H6" s="730"/>
      <c r="I6" s="600"/>
      <c r="J6" s="600"/>
      <c r="K6" s="600"/>
      <c r="L6" s="600"/>
      <c r="M6" s="600"/>
      <c r="N6" s="600"/>
      <c r="O6" s="600"/>
      <c r="P6" s="600"/>
      <c r="Q6" s="600"/>
      <c r="R6" s="600"/>
      <c r="S6" s="600"/>
      <c r="T6" s="600"/>
      <c r="AP6" s="33"/>
    </row>
    <row r="7" spans="1:83" ht="30" customHeight="1" thickBot="1">
      <c r="A7" s="730" t="s">
        <v>134</v>
      </c>
      <c r="B7" s="730"/>
      <c r="C7" s="730" t="s">
        <v>135</v>
      </c>
      <c r="D7" s="730"/>
      <c r="E7" s="730" t="s">
        <v>136</v>
      </c>
      <c r="F7" s="730"/>
      <c r="G7" s="730" t="s">
        <v>137</v>
      </c>
      <c r="H7" s="730"/>
      <c r="I7" s="600"/>
      <c r="J7" s="600"/>
      <c r="K7" s="600"/>
      <c r="L7" s="600"/>
      <c r="M7" s="600"/>
      <c r="N7" s="600"/>
      <c r="O7" s="600"/>
      <c r="P7" s="600"/>
      <c r="Q7" s="600"/>
      <c r="R7" s="600"/>
      <c r="S7" s="600"/>
      <c r="T7" s="600"/>
      <c r="AP7" s="33"/>
    </row>
    <row r="8" spans="1:83" ht="30" customHeight="1">
      <c r="A8" s="787" t="str">
        <f>"Normaluge 1 - "&amp;Stamoplysninger!$E$14&amp;""</f>
        <v xml:space="preserve">Normaluge 1 - </v>
      </c>
      <c r="B8" s="788"/>
      <c r="C8" s="788"/>
      <c r="D8" s="788"/>
      <c r="E8" s="788"/>
      <c r="F8" s="788"/>
      <c r="G8" s="788"/>
      <c r="H8" s="788"/>
      <c r="I8" s="788"/>
      <c r="J8" s="788"/>
      <c r="K8" s="788"/>
      <c r="L8" s="788"/>
      <c r="M8" s="789"/>
      <c r="O8" s="787" t="str">
        <f>"Normaluge 2 - "&amp;Stamoplysninger!$E$14&amp;""</f>
        <v xml:space="preserve">Normaluge 2 - </v>
      </c>
      <c r="P8" s="788"/>
      <c r="Q8" s="788"/>
      <c r="R8" s="788"/>
      <c r="S8" s="788"/>
      <c r="T8" s="788"/>
      <c r="U8" s="788"/>
      <c r="V8" s="788"/>
      <c r="W8" s="788"/>
      <c r="X8" s="788"/>
      <c r="Y8" s="788"/>
      <c r="Z8" s="788"/>
      <c r="AA8" s="789"/>
      <c r="AC8" s="787" t="str">
        <f>"Normaluge 3 - "&amp;Stamoplysninger!$E$14&amp;""</f>
        <v xml:space="preserve">Normaluge 3 - </v>
      </c>
      <c r="AD8" s="788"/>
      <c r="AE8" s="788"/>
      <c r="AF8" s="788"/>
      <c r="AG8" s="788"/>
      <c r="AH8" s="788"/>
      <c r="AI8" s="788"/>
      <c r="AJ8" s="788"/>
      <c r="AK8" s="788"/>
      <c r="AL8" s="788"/>
      <c r="AM8" s="788"/>
      <c r="AN8" s="788"/>
      <c r="AO8" s="789"/>
      <c r="AQ8" s="787" t="str">
        <f>"Normaluge 4 - "&amp;Stamoplysninger!$E$14&amp;""</f>
        <v xml:space="preserve">Normaluge 4 - </v>
      </c>
      <c r="AR8" s="788"/>
      <c r="AS8" s="788"/>
      <c r="AT8" s="788"/>
      <c r="AU8" s="788"/>
      <c r="AV8" s="788"/>
      <c r="AW8" s="788"/>
      <c r="AX8" s="788"/>
      <c r="AY8" s="788"/>
      <c r="AZ8" s="788"/>
      <c r="BA8" s="788"/>
      <c r="BB8" s="788"/>
      <c r="BC8" s="789"/>
      <c r="BE8" s="787" t="str">
        <f>"Normaluge 5 - "&amp;Stamoplysninger!$E$14&amp;""</f>
        <v xml:space="preserve">Normaluge 5 - </v>
      </c>
      <c r="BF8" s="788"/>
      <c r="BG8" s="788"/>
      <c r="BH8" s="788"/>
      <c r="BI8" s="788"/>
      <c r="BJ8" s="788"/>
      <c r="BK8" s="788"/>
      <c r="BL8" s="788"/>
      <c r="BM8" s="788"/>
      <c r="BN8" s="788"/>
      <c r="BO8" s="788"/>
      <c r="BP8" s="788"/>
      <c r="BQ8" s="789"/>
      <c r="BS8" s="787" t="str">
        <f>"Normaluge 6 - "&amp;Stamoplysninger!$E$14&amp;""</f>
        <v xml:space="preserve">Normaluge 6 - </v>
      </c>
      <c r="BT8" s="788"/>
      <c r="BU8" s="788"/>
      <c r="BV8" s="788"/>
      <c r="BW8" s="788"/>
      <c r="BX8" s="788"/>
      <c r="BY8" s="788"/>
      <c r="BZ8" s="788"/>
      <c r="CA8" s="788"/>
      <c r="CB8" s="788"/>
      <c r="CC8" s="788"/>
      <c r="CD8" s="788"/>
      <c r="CE8" s="789"/>
    </row>
    <row r="9" spans="1:83" ht="29" customHeight="1">
      <c r="A9" s="790" t="s">
        <v>207</v>
      </c>
      <c r="B9" s="791"/>
      <c r="C9" s="791"/>
      <c r="D9" s="791"/>
      <c r="E9" s="791"/>
      <c r="F9" s="794" t="s">
        <v>24</v>
      </c>
      <c r="G9" s="794"/>
      <c r="H9" s="794"/>
      <c r="I9" s="794"/>
      <c r="J9" s="795" t="s">
        <v>25</v>
      </c>
      <c r="K9" s="795"/>
      <c r="L9" s="795"/>
      <c r="M9" s="796"/>
      <c r="O9" s="790" t="s">
        <v>207</v>
      </c>
      <c r="P9" s="791"/>
      <c r="Q9" s="791"/>
      <c r="R9" s="791"/>
      <c r="S9" s="791"/>
      <c r="T9" s="794" t="s">
        <v>24</v>
      </c>
      <c r="U9" s="794"/>
      <c r="V9" s="794"/>
      <c r="W9" s="794"/>
      <c r="X9" s="795" t="s">
        <v>25</v>
      </c>
      <c r="Y9" s="795"/>
      <c r="Z9" s="795"/>
      <c r="AA9" s="796"/>
      <c r="AC9" s="790" t="s">
        <v>207</v>
      </c>
      <c r="AD9" s="791"/>
      <c r="AE9" s="791"/>
      <c r="AF9" s="791"/>
      <c r="AG9" s="791"/>
      <c r="AH9" s="794" t="s">
        <v>24</v>
      </c>
      <c r="AI9" s="794"/>
      <c r="AJ9" s="794"/>
      <c r="AK9" s="794"/>
      <c r="AL9" s="795" t="s">
        <v>25</v>
      </c>
      <c r="AM9" s="795"/>
      <c r="AN9" s="795"/>
      <c r="AO9" s="796"/>
      <c r="AQ9" s="790" t="s">
        <v>207</v>
      </c>
      <c r="AR9" s="791"/>
      <c r="AS9" s="791"/>
      <c r="AT9" s="791"/>
      <c r="AU9" s="791"/>
      <c r="AV9" s="794" t="s">
        <v>24</v>
      </c>
      <c r="AW9" s="794"/>
      <c r="AX9" s="794"/>
      <c r="AY9" s="794"/>
      <c r="AZ9" s="795" t="s">
        <v>25</v>
      </c>
      <c r="BA9" s="795"/>
      <c r="BB9" s="795"/>
      <c r="BC9" s="796"/>
      <c r="BE9" s="790" t="s">
        <v>207</v>
      </c>
      <c r="BF9" s="791"/>
      <c r="BG9" s="791"/>
      <c r="BH9" s="791"/>
      <c r="BI9" s="791"/>
      <c r="BJ9" s="794" t="s">
        <v>24</v>
      </c>
      <c r="BK9" s="794"/>
      <c r="BL9" s="794"/>
      <c r="BM9" s="794"/>
      <c r="BN9" s="795" t="s">
        <v>25</v>
      </c>
      <c r="BO9" s="795"/>
      <c r="BP9" s="795"/>
      <c r="BQ9" s="796"/>
      <c r="BS9" s="790" t="s">
        <v>207</v>
      </c>
      <c r="BT9" s="791"/>
      <c r="BU9" s="791"/>
      <c r="BV9" s="791"/>
      <c r="BW9" s="791"/>
      <c r="BX9" s="794" t="s">
        <v>24</v>
      </c>
      <c r="BY9" s="794"/>
      <c r="BZ9" s="794"/>
      <c r="CA9" s="794"/>
      <c r="CB9" s="795" t="s">
        <v>25</v>
      </c>
      <c r="CC9" s="795"/>
      <c r="CD9" s="795"/>
      <c r="CE9" s="796"/>
    </row>
    <row r="10" spans="1:83" ht="30" customHeight="1">
      <c r="A10" s="792"/>
      <c r="B10" s="793"/>
      <c r="C10" s="793"/>
      <c r="D10" s="793"/>
      <c r="E10" s="793"/>
      <c r="F10" s="797"/>
      <c r="G10" s="797"/>
      <c r="H10" s="797"/>
      <c r="I10" s="798"/>
      <c r="J10" s="797"/>
      <c r="K10" s="797"/>
      <c r="L10" s="797"/>
      <c r="M10" s="799"/>
      <c r="O10" s="792"/>
      <c r="P10" s="793"/>
      <c r="Q10" s="793"/>
      <c r="R10" s="793"/>
      <c r="S10" s="793"/>
      <c r="T10" s="797"/>
      <c r="U10" s="797"/>
      <c r="V10" s="797"/>
      <c r="W10" s="798"/>
      <c r="X10" s="797"/>
      <c r="Y10" s="797"/>
      <c r="Z10" s="797"/>
      <c r="AA10" s="799"/>
      <c r="AC10" s="792"/>
      <c r="AD10" s="793"/>
      <c r="AE10" s="793"/>
      <c r="AF10" s="793"/>
      <c r="AG10" s="793"/>
      <c r="AH10" s="797"/>
      <c r="AI10" s="797"/>
      <c r="AJ10" s="797"/>
      <c r="AK10" s="798"/>
      <c r="AL10" s="797"/>
      <c r="AM10" s="797"/>
      <c r="AN10" s="797"/>
      <c r="AO10" s="799"/>
      <c r="AQ10" s="792"/>
      <c r="AR10" s="793"/>
      <c r="AS10" s="793"/>
      <c r="AT10" s="793"/>
      <c r="AU10" s="793"/>
      <c r="AV10" s="797"/>
      <c r="AW10" s="797"/>
      <c r="AX10" s="797"/>
      <c r="AY10" s="798"/>
      <c r="AZ10" s="797"/>
      <c r="BA10" s="797"/>
      <c r="BB10" s="797"/>
      <c r="BC10" s="799"/>
      <c r="BE10" s="792"/>
      <c r="BF10" s="793"/>
      <c r="BG10" s="793"/>
      <c r="BH10" s="793"/>
      <c r="BI10" s="793"/>
      <c r="BJ10" s="797"/>
      <c r="BK10" s="797"/>
      <c r="BL10" s="797"/>
      <c r="BM10" s="798"/>
      <c r="BN10" s="797"/>
      <c r="BO10" s="797"/>
      <c r="BP10" s="797"/>
      <c r="BQ10" s="799"/>
      <c r="BS10" s="792"/>
      <c r="BT10" s="793"/>
      <c r="BU10" s="793"/>
      <c r="BV10" s="793"/>
      <c r="BW10" s="793"/>
      <c r="BX10" s="797"/>
      <c r="BY10" s="797"/>
      <c r="BZ10" s="797"/>
      <c r="CA10" s="798"/>
      <c r="CB10" s="797"/>
      <c r="CC10" s="797"/>
      <c r="CD10" s="797"/>
      <c r="CE10" s="799"/>
    </row>
    <row r="11" spans="1:83" ht="75" customHeight="1" thickBot="1">
      <c r="A11" s="800" t="s">
        <v>379</v>
      </c>
      <c r="B11" s="801"/>
      <c r="C11" s="801"/>
      <c r="D11" s="801"/>
      <c r="E11" s="801"/>
      <c r="F11" s="801"/>
      <c r="G11" s="801"/>
      <c r="H11" s="801"/>
      <c r="I11" s="801"/>
      <c r="J11" s="801"/>
      <c r="K11" s="801"/>
      <c r="L11" s="801"/>
      <c r="M11" s="802"/>
      <c r="O11" s="813" t="s">
        <v>380</v>
      </c>
      <c r="P11" s="814"/>
      <c r="Q11" s="814"/>
      <c r="R11" s="814"/>
      <c r="S11" s="814"/>
      <c r="T11" s="814"/>
      <c r="U11" s="814"/>
      <c r="V11" s="814"/>
      <c r="W11" s="814"/>
      <c r="X11" s="814"/>
      <c r="Y11" s="814"/>
      <c r="Z11" s="814"/>
      <c r="AA11" s="815"/>
      <c r="AC11" s="813" t="s">
        <v>381</v>
      </c>
      <c r="AD11" s="814"/>
      <c r="AE11" s="814"/>
      <c r="AF11" s="814"/>
      <c r="AG11" s="814"/>
      <c r="AH11" s="814"/>
      <c r="AI11" s="814"/>
      <c r="AJ11" s="814"/>
      <c r="AK11" s="814"/>
      <c r="AL11" s="814"/>
      <c r="AM11" s="814"/>
      <c r="AN11" s="814"/>
      <c r="AO11" s="815"/>
      <c r="AQ11" s="800" t="s">
        <v>382</v>
      </c>
      <c r="AR11" s="801"/>
      <c r="AS11" s="801"/>
      <c r="AT11" s="801"/>
      <c r="AU11" s="801"/>
      <c r="AV11" s="801"/>
      <c r="AW11" s="801"/>
      <c r="AX11" s="801"/>
      <c r="AY11" s="801"/>
      <c r="AZ11" s="801"/>
      <c r="BA11" s="801"/>
      <c r="BB11" s="801"/>
      <c r="BC11" s="802"/>
      <c r="BE11" s="800" t="s">
        <v>382</v>
      </c>
      <c r="BF11" s="801"/>
      <c r="BG11" s="801"/>
      <c r="BH11" s="801"/>
      <c r="BI11" s="801"/>
      <c r="BJ11" s="801"/>
      <c r="BK11" s="801"/>
      <c r="BL11" s="801"/>
      <c r="BM11" s="801"/>
      <c r="BN11" s="801"/>
      <c r="BO11" s="801"/>
      <c r="BP11" s="801"/>
      <c r="BQ11" s="802"/>
      <c r="BS11" s="800" t="s">
        <v>382</v>
      </c>
      <c r="BT11" s="801"/>
      <c r="BU11" s="801"/>
      <c r="BV11" s="801"/>
      <c r="BW11" s="801"/>
      <c r="BX11" s="801"/>
      <c r="BY11" s="801"/>
      <c r="BZ11" s="801"/>
      <c r="CA11" s="801"/>
      <c r="CB11" s="801"/>
      <c r="CC11" s="801"/>
      <c r="CD11" s="801"/>
      <c r="CE11" s="802"/>
    </row>
    <row r="12" spans="1:83" ht="29" customHeight="1">
      <c r="A12" s="803" t="s">
        <v>378</v>
      </c>
      <c r="B12" s="614" t="s">
        <v>55</v>
      </c>
      <c r="C12" s="811" t="s">
        <v>56</v>
      </c>
      <c r="D12" s="807" t="s">
        <v>31</v>
      </c>
      <c r="E12" s="808"/>
      <c r="F12" s="807" t="s">
        <v>32</v>
      </c>
      <c r="G12" s="808"/>
      <c r="H12" s="807" t="s">
        <v>33</v>
      </c>
      <c r="I12" s="808"/>
      <c r="J12" s="807" t="s">
        <v>34</v>
      </c>
      <c r="K12" s="808"/>
      <c r="L12" s="807" t="s">
        <v>35</v>
      </c>
      <c r="M12" s="808"/>
      <c r="O12" s="803" t="s">
        <v>378</v>
      </c>
      <c r="P12" s="614" t="s">
        <v>55</v>
      </c>
      <c r="Q12" s="805" t="s">
        <v>56</v>
      </c>
      <c r="R12" s="807" t="s">
        <v>31</v>
      </c>
      <c r="S12" s="808"/>
      <c r="T12" s="807" t="s">
        <v>32</v>
      </c>
      <c r="U12" s="808"/>
      <c r="V12" s="807" t="s">
        <v>33</v>
      </c>
      <c r="W12" s="808"/>
      <c r="X12" s="807" t="s">
        <v>34</v>
      </c>
      <c r="Y12" s="808"/>
      <c r="Z12" s="807" t="s">
        <v>35</v>
      </c>
      <c r="AA12" s="808"/>
      <c r="AC12" s="803" t="s">
        <v>378</v>
      </c>
      <c r="AD12" s="614" t="s">
        <v>55</v>
      </c>
      <c r="AE12" s="805" t="s">
        <v>56</v>
      </c>
      <c r="AF12" s="807" t="s">
        <v>31</v>
      </c>
      <c r="AG12" s="808"/>
      <c r="AH12" s="807" t="s">
        <v>32</v>
      </c>
      <c r="AI12" s="808"/>
      <c r="AJ12" s="807" t="s">
        <v>33</v>
      </c>
      <c r="AK12" s="808"/>
      <c r="AL12" s="807" t="s">
        <v>34</v>
      </c>
      <c r="AM12" s="808"/>
      <c r="AN12" s="807" t="s">
        <v>35</v>
      </c>
      <c r="AO12" s="808"/>
      <c r="AQ12" s="803" t="s">
        <v>378</v>
      </c>
      <c r="AR12" s="614" t="s">
        <v>55</v>
      </c>
      <c r="AS12" s="805" t="s">
        <v>56</v>
      </c>
      <c r="AT12" s="807" t="s">
        <v>31</v>
      </c>
      <c r="AU12" s="808"/>
      <c r="AV12" s="807" t="s">
        <v>32</v>
      </c>
      <c r="AW12" s="808"/>
      <c r="AX12" s="807" t="s">
        <v>33</v>
      </c>
      <c r="AY12" s="808"/>
      <c r="AZ12" s="807" t="s">
        <v>34</v>
      </c>
      <c r="BA12" s="808"/>
      <c r="BB12" s="807" t="s">
        <v>35</v>
      </c>
      <c r="BC12" s="808"/>
      <c r="BE12" s="803" t="s">
        <v>378</v>
      </c>
      <c r="BF12" s="614" t="s">
        <v>55</v>
      </c>
      <c r="BG12" s="805" t="s">
        <v>56</v>
      </c>
      <c r="BH12" s="807" t="s">
        <v>31</v>
      </c>
      <c r="BI12" s="808"/>
      <c r="BJ12" s="807" t="s">
        <v>32</v>
      </c>
      <c r="BK12" s="808"/>
      <c r="BL12" s="807" t="s">
        <v>33</v>
      </c>
      <c r="BM12" s="808"/>
      <c r="BN12" s="807" t="s">
        <v>34</v>
      </c>
      <c r="BO12" s="808"/>
      <c r="BP12" s="807" t="s">
        <v>35</v>
      </c>
      <c r="BQ12" s="808"/>
      <c r="BS12" s="803" t="s">
        <v>378</v>
      </c>
      <c r="BT12" s="614" t="s">
        <v>55</v>
      </c>
      <c r="BU12" s="805" t="s">
        <v>56</v>
      </c>
      <c r="BV12" s="807" t="s">
        <v>31</v>
      </c>
      <c r="BW12" s="808"/>
      <c r="BX12" s="807" t="s">
        <v>32</v>
      </c>
      <c r="BY12" s="808"/>
      <c r="BZ12" s="807" t="s">
        <v>33</v>
      </c>
      <c r="CA12" s="808"/>
      <c r="CB12" s="807" t="s">
        <v>34</v>
      </c>
      <c r="CC12" s="808"/>
      <c r="CD12" s="807" t="s">
        <v>35</v>
      </c>
      <c r="CE12" s="808"/>
    </row>
    <row r="13" spans="1:83" ht="35" customHeight="1" thickBot="1">
      <c r="A13" s="804"/>
      <c r="B13" s="624"/>
      <c r="C13" s="812"/>
      <c r="D13" s="809" t="s">
        <v>398</v>
      </c>
      <c r="E13" s="810"/>
      <c r="F13" s="809" t="s">
        <v>398</v>
      </c>
      <c r="G13" s="810"/>
      <c r="H13" s="809" t="s">
        <v>398</v>
      </c>
      <c r="I13" s="810"/>
      <c r="J13" s="809" t="s">
        <v>398</v>
      </c>
      <c r="K13" s="810"/>
      <c r="L13" s="809" t="s">
        <v>398</v>
      </c>
      <c r="M13" s="810"/>
      <c r="N13" s="684"/>
      <c r="O13" s="804"/>
      <c r="P13" s="624"/>
      <c r="Q13" s="806"/>
      <c r="R13" s="809" t="s">
        <v>398</v>
      </c>
      <c r="S13" s="810"/>
      <c r="T13" s="809" t="s">
        <v>398</v>
      </c>
      <c r="U13" s="810"/>
      <c r="V13" s="809" t="s">
        <v>398</v>
      </c>
      <c r="W13" s="810"/>
      <c r="X13" s="809" t="s">
        <v>398</v>
      </c>
      <c r="Y13" s="810"/>
      <c r="Z13" s="809" t="s">
        <v>398</v>
      </c>
      <c r="AA13" s="810"/>
      <c r="AC13" s="804"/>
      <c r="AD13" s="624"/>
      <c r="AE13" s="806"/>
      <c r="AF13" s="809" t="s">
        <v>398</v>
      </c>
      <c r="AG13" s="810"/>
      <c r="AH13" s="809" t="s">
        <v>398</v>
      </c>
      <c r="AI13" s="810"/>
      <c r="AJ13" s="809" t="s">
        <v>398</v>
      </c>
      <c r="AK13" s="810"/>
      <c r="AL13" s="809" t="s">
        <v>398</v>
      </c>
      <c r="AM13" s="810"/>
      <c r="AN13" s="809" t="s">
        <v>398</v>
      </c>
      <c r="AO13" s="810"/>
      <c r="AQ13" s="804"/>
      <c r="AR13" s="624"/>
      <c r="AS13" s="806"/>
      <c r="AT13" s="809" t="s">
        <v>398</v>
      </c>
      <c r="AU13" s="810"/>
      <c r="AV13" s="809" t="s">
        <v>398</v>
      </c>
      <c r="AW13" s="810"/>
      <c r="AX13" s="809" t="s">
        <v>398</v>
      </c>
      <c r="AY13" s="810"/>
      <c r="AZ13" s="809" t="s">
        <v>398</v>
      </c>
      <c r="BA13" s="810"/>
      <c r="BB13" s="809" t="s">
        <v>398</v>
      </c>
      <c r="BC13" s="810"/>
      <c r="BE13" s="804"/>
      <c r="BF13" s="624"/>
      <c r="BG13" s="806"/>
      <c r="BH13" s="809" t="s">
        <v>398</v>
      </c>
      <c r="BI13" s="810"/>
      <c r="BJ13" s="809" t="s">
        <v>398</v>
      </c>
      <c r="BK13" s="810"/>
      <c r="BL13" s="809" t="s">
        <v>398</v>
      </c>
      <c r="BM13" s="810"/>
      <c r="BN13" s="809" t="s">
        <v>398</v>
      </c>
      <c r="BO13" s="810"/>
      <c r="BP13" s="809" t="s">
        <v>398</v>
      </c>
      <c r="BQ13" s="810"/>
      <c r="BS13" s="804"/>
      <c r="BT13" s="624"/>
      <c r="BU13" s="806"/>
      <c r="BV13" s="809" t="s">
        <v>398</v>
      </c>
      <c r="BW13" s="810"/>
      <c r="BX13" s="809" t="s">
        <v>398</v>
      </c>
      <c r="BY13" s="810"/>
      <c r="BZ13" s="809" t="s">
        <v>398</v>
      </c>
      <c r="CA13" s="810"/>
      <c r="CB13" s="809" t="s">
        <v>398</v>
      </c>
      <c r="CC13" s="810"/>
      <c r="CD13" s="809" t="s">
        <v>398</v>
      </c>
      <c r="CE13" s="810"/>
    </row>
    <row r="14" spans="1:83" ht="33" customHeight="1">
      <c r="A14" s="620"/>
      <c r="B14" s="621" t="str">
        <f>IF(A14&gt;0,B13,"")</f>
        <v/>
      </c>
      <c r="C14" s="622" t="str">
        <f>IF(A14&gt;0,B14+A14,"")</f>
        <v/>
      </c>
      <c r="D14" s="625"/>
      <c r="E14" s="623"/>
      <c r="F14" s="625"/>
      <c r="G14" s="623"/>
      <c r="H14" s="625"/>
      <c r="I14" s="623"/>
      <c r="J14" s="625"/>
      <c r="K14" s="623"/>
      <c r="L14" s="625"/>
      <c r="M14" s="623"/>
      <c r="N14" s="33" t="s">
        <v>373</v>
      </c>
      <c r="O14" s="611"/>
      <c r="P14" s="31" t="str">
        <f>IF(O14&gt;0,P13,"")</f>
        <v/>
      </c>
      <c r="Q14" s="613" t="str">
        <f>IF(O14&gt;0,P14+O14,"")</f>
        <v/>
      </c>
      <c r="R14" s="616"/>
      <c r="S14" s="623"/>
      <c r="T14" s="616"/>
      <c r="U14" s="623"/>
      <c r="V14" s="616"/>
      <c r="W14" s="623"/>
      <c r="X14" s="616"/>
      <c r="Y14" s="623"/>
      <c r="Z14" s="616"/>
      <c r="AA14" s="623"/>
      <c r="AC14" s="611"/>
      <c r="AD14" s="31" t="str">
        <f>IF(AC14&gt;0,AD13,"")</f>
        <v/>
      </c>
      <c r="AE14" s="613" t="str">
        <f>IF(AC14&gt;0,AD14+AC14,"")</f>
        <v/>
      </c>
      <c r="AF14" s="616"/>
      <c r="AG14" s="623"/>
      <c r="AH14" s="616"/>
      <c r="AI14" s="623"/>
      <c r="AJ14" s="616"/>
      <c r="AK14" s="623"/>
      <c r="AL14" s="616"/>
      <c r="AM14" s="623"/>
      <c r="AN14" s="616"/>
      <c r="AO14" s="623"/>
      <c r="AQ14" s="620"/>
      <c r="AR14" s="621" t="str">
        <f>IF(AQ14&gt;0,AR13,"")</f>
        <v/>
      </c>
      <c r="AS14" s="622" t="str">
        <f>IF(AQ14&gt;0,AR14+AQ14,"")</f>
        <v/>
      </c>
      <c r="AT14" s="625"/>
      <c r="AU14" s="623"/>
      <c r="AV14" s="625"/>
      <c r="AW14" s="623"/>
      <c r="AX14" s="625"/>
      <c r="AY14" s="623"/>
      <c r="AZ14" s="625"/>
      <c r="BA14" s="623"/>
      <c r="BB14" s="625"/>
      <c r="BC14" s="623"/>
      <c r="BE14" s="620"/>
      <c r="BF14" s="621" t="str">
        <f>IF(BE14&gt;0,BF13,"")</f>
        <v/>
      </c>
      <c r="BG14" s="622" t="str">
        <f>IF(BE14&gt;0,BF14+BE14,"")</f>
        <v/>
      </c>
      <c r="BH14" s="625"/>
      <c r="BI14" s="623"/>
      <c r="BJ14" s="625"/>
      <c r="BK14" s="623"/>
      <c r="BL14" s="625"/>
      <c r="BM14" s="623"/>
      <c r="BN14" s="625"/>
      <c r="BO14" s="623"/>
      <c r="BP14" s="625"/>
      <c r="BQ14" s="623"/>
      <c r="BS14" s="620"/>
      <c r="BT14" s="621" t="str">
        <f>IF(BS14&gt;0,BT13,"")</f>
        <v/>
      </c>
      <c r="BU14" s="622" t="str">
        <f>IF(BS14&gt;0,BT14+BS14,"")</f>
        <v/>
      </c>
      <c r="BV14" s="625"/>
      <c r="BW14" s="623"/>
      <c r="BX14" s="625"/>
      <c r="BY14" s="623"/>
      <c r="BZ14" s="625"/>
      <c r="CA14" s="623"/>
      <c r="CB14" s="625"/>
      <c r="CC14" s="623"/>
      <c r="CD14" s="625"/>
      <c r="CE14" s="623"/>
    </row>
    <row r="15" spans="1:83" ht="33" customHeight="1">
      <c r="A15" s="611"/>
      <c r="B15" s="31" t="str">
        <f>IF(A15&gt;0,C14,"")</f>
        <v/>
      </c>
      <c r="C15" s="613" t="str">
        <f t="shared" ref="C15:C35" si="0">IF(A15&gt;0,B15+A15,"")</f>
        <v/>
      </c>
      <c r="D15" s="616"/>
      <c r="E15" s="151"/>
      <c r="F15" s="616"/>
      <c r="G15" s="151"/>
      <c r="H15" s="616"/>
      <c r="I15" s="151"/>
      <c r="J15" s="616"/>
      <c r="K15" s="151"/>
      <c r="L15" s="616"/>
      <c r="M15" s="151"/>
      <c r="N15" s="33" t="s">
        <v>374</v>
      </c>
      <c r="O15" s="611"/>
      <c r="P15" s="31" t="str">
        <f>IF(O15&gt;0,Q14,"")</f>
        <v/>
      </c>
      <c r="Q15" s="613" t="str">
        <f t="shared" ref="Q15:Q30" si="1">IF(O15&gt;0,P15+O15,"")</f>
        <v/>
      </c>
      <c r="R15" s="686"/>
      <c r="S15" s="151"/>
      <c r="T15" s="616"/>
      <c r="U15" s="151"/>
      <c r="V15" s="616"/>
      <c r="W15" s="151"/>
      <c r="X15" s="616"/>
      <c r="Y15" s="151"/>
      <c r="Z15" s="616"/>
      <c r="AA15" s="151"/>
      <c r="AC15" s="611"/>
      <c r="AD15" s="31" t="str">
        <f>IF(AC15&gt;0,AE14,"")</f>
        <v/>
      </c>
      <c r="AE15" s="613" t="str">
        <f t="shared" ref="AE15:AE28" si="2">IF(AC15&gt;0,AD15+AC15,"")</f>
        <v/>
      </c>
      <c r="AF15" s="616"/>
      <c r="AG15" s="151"/>
      <c r="AH15" s="616"/>
      <c r="AI15" s="151"/>
      <c r="AJ15" s="616"/>
      <c r="AK15" s="151"/>
      <c r="AL15" s="616"/>
      <c r="AM15" s="151"/>
      <c r="AN15" s="616"/>
      <c r="AO15" s="151"/>
      <c r="AQ15" s="611"/>
      <c r="AR15" s="31" t="str">
        <f>IF(AQ15&gt;0,AS14,"")</f>
        <v/>
      </c>
      <c r="AS15" s="613" t="str">
        <f t="shared" ref="AS15:AS29" si="3">IF(AQ15&gt;0,AR15+AQ15,"")</f>
        <v/>
      </c>
      <c r="AT15" s="616"/>
      <c r="AU15" s="151"/>
      <c r="AV15" s="616"/>
      <c r="AW15" s="151"/>
      <c r="AX15" s="616"/>
      <c r="AY15" s="151"/>
      <c r="AZ15" s="616"/>
      <c r="BA15" s="151"/>
      <c r="BB15" s="616"/>
      <c r="BC15" s="151"/>
      <c r="BE15" s="611"/>
      <c r="BF15" s="31" t="str">
        <f>IF(BE15&gt;0,BG14,"")</f>
        <v/>
      </c>
      <c r="BG15" s="613" t="str">
        <f t="shared" ref="BG15:BG35" si="4">IF(BE15&gt;0,BF15+BE15,"")</f>
        <v/>
      </c>
      <c r="BH15" s="625"/>
      <c r="BI15" s="151"/>
      <c r="BJ15" s="625"/>
      <c r="BK15" s="151"/>
      <c r="BL15" s="625"/>
      <c r="BM15" s="151"/>
      <c r="BN15" s="625"/>
      <c r="BO15" s="151"/>
      <c r="BP15" s="625"/>
      <c r="BQ15" s="151"/>
      <c r="BS15" s="611"/>
      <c r="BT15" s="31" t="str">
        <f>IF(BS15&gt;0,BU14,"")</f>
        <v/>
      </c>
      <c r="BU15" s="613" t="str">
        <f t="shared" ref="BU15:BU35" si="5">IF(BS15&gt;0,BT15+BS15,"")</f>
        <v/>
      </c>
      <c r="BV15" s="625"/>
      <c r="BW15" s="151"/>
      <c r="BX15" s="625"/>
      <c r="BY15" s="151"/>
      <c r="BZ15" s="625"/>
      <c r="CA15" s="151"/>
      <c r="CB15" s="625"/>
      <c r="CC15" s="151"/>
      <c r="CD15" s="625"/>
      <c r="CE15" s="151"/>
    </row>
    <row r="16" spans="1:83" ht="33" customHeight="1">
      <c r="A16" s="611"/>
      <c r="B16" s="31" t="str">
        <f t="shared" ref="B16:B35" si="6">IF(A16&gt;0,C15,"")</f>
        <v/>
      </c>
      <c r="C16" s="613" t="str">
        <f t="shared" si="0"/>
        <v/>
      </c>
      <c r="D16" s="616"/>
      <c r="E16" s="217"/>
      <c r="F16" s="616"/>
      <c r="G16" s="217"/>
      <c r="H16" s="616"/>
      <c r="I16" s="217"/>
      <c r="J16" s="616"/>
      <c r="K16" s="217"/>
      <c r="L16" s="616"/>
      <c r="M16" s="217"/>
      <c r="O16" s="611"/>
      <c r="P16" s="31" t="str">
        <f t="shared" ref="P16:P30" si="7">IF(O16&gt;0,Q15,"")</f>
        <v/>
      </c>
      <c r="Q16" s="613" t="str">
        <f t="shared" si="1"/>
        <v/>
      </c>
      <c r="R16" s="616"/>
      <c r="S16" s="217"/>
      <c r="T16" s="616"/>
      <c r="U16" s="217"/>
      <c r="V16" s="616"/>
      <c r="W16" s="217"/>
      <c r="X16" s="616"/>
      <c r="Y16" s="217"/>
      <c r="Z16" s="616"/>
      <c r="AA16" s="217"/>
      <c r="AC16" s="611"/>
      <c r="AD16" s="31" t="str">
        <f t="shared" ref="AD16:AD28" si="8">IF(AC16&gt;0,AE15,"")</f>
        <v/>
      </c>
      <c r="AE16" s="613" t="str">
        <f t="shared" si="2"/>
        <v/>
      </c>
      <c r="AF16" s="616"/>
      <c r="AG16" s="217"/>
      <c r="AH16" s="616"/>
      <c r="AI16" s="217"/>
      <c r="AJ16" s="616"/>
      <c r="AK16" s="217"/>
      <c r="AL16" s="616"/>
      <c r="AM16" s="217"/>
      <c r="AN16" s="616"/>
      <c r="AO16" s="217"/>
      <c r="AQ16" s="620"/>
      <c r="AR16" s="31" t="str">
        <f t="shared" ref="AR16:AR29" si="9">IF(AQ16&gt;0,AS15,"")</f>
        <v/>
      </c>
      <c r="AS16" s="613" t="str">
        <f t="shared" si="3"/>
        <v/>
      </c>
      <c r="AT16" s="616"/>
      <c r="AU16" s="217"/>
      <c r="AV16" s="616"/>
      <c r="AW16" s="217"/>
      <c r="AX16" s="616"/>
      <c r="AY16" s="217"/>
      <c r="AZ16" s="616"/>
      <c r="BA16" s="217"/>
      <c r="BB16" s="616"/>
      <c r="BC16" s="217"/>
      <c r="BE16" s="620"/>
      <c r="BF16" s="31" t="str">
        <f t="shared" ref="BF16:BF35" si="10">IF(BE16&gt;0,BG15,"")</f>
        <v/>
      </c>
      <c r="BG16" s="613" t="str">
        <f t="shared" si="4"/>
        <v/>
      </c>
      <c r="BH16" s="625"/>
      <c r="BI16" s="217"/>
      <c r="BJ16" s="625"/>
      <c r="BK16" s="217"/>
      <c r="BL16" s="625"/>
      <c r="BM16" s="217"/>
      <c r="BN16" s="625"/>
      <c r="BO16" s="217"/>
      <c r="BP16" s="625"/>
      <c r="BQ16" s="217"/>
      <c r="BS16" s="620"/>
      <c r="BT16" s="31" t="str">
        <f t="shared" ref="BT16:BT35" si="11">IF(BS16&gt;0,BU15,"")</f>
        <v/>
      </c>
      <c r="BU16" s="613" t="str">
        <f t="shared" si="5"/>
        <v/>
      </c>
      <c r="BV16" s="625"/>
      <c r="BW16" s="217"/>
      <c r="BX16" s="625"/>
      <c r="BY16" s="217"/>
      <c r="BZ16" s="625"/>
      <c r="CA16" s="217"/>
      <c r="CB16" s="625"/>
      <c r="CC16" s="217"/>
      <c r="CD16" s="625"/>
      <c r="CE16" s="217"/>
    </row>
    <row r="17" spans="1:83" ht="33" customHeight="1">
      <c r="A17" s="611"/>
      <c r="B17" s="31" t="str">
        <f t="shared" si="6"/>
        <v/>
      </c>
      <c r="C17" s="613" t="str">
        <f t="shared" si="0"/>
        <v/>
      </c>
      <c r="D17" s="616"/>
      <c r="E17" s="151"/>
      <c r="F17" s="616"/>
      <c r="G17" s="151"/>
      <c r="H17" s="616"/>
      <c r="I17" s="151"/>
      <c r="J17" s="616"/>
      <c r="K17" s="151"/>
      <c r="L17" s="616"/>
      <c r="M17" s="151"/>
      <c r="O17" s="611"/>
      <c r="P17" s="31" t="str">
        <f t="shared" si="7"/>
        <v/>
      </c>
      <c r="Q17" s="613" t="str">
        <f t="shared" si="1"/>
        <v/>
      </c>
      <c r="R17" s="616"/>
      <c r="S17" s="151"/>
      <c r="T17" s="616"/>
      <c r="U17" s="151"/>
      <c r="V17" s="616"/>
      <c r="W17" s="151"/>
      <c r="X17" s="616"/>
      <c r="Y17" s="151"/>
      <c r="Z17" s="616"/>
      <c r="AA17" s="151"/>
      <c r="AC17" s="611"/>
      <c r="AD17" s="31" t="str">
        <f t="shared" si="8"/>
        <v/>
      </c>
      <c r="AE17" s="613" t="str">
        <f t="shared" si="2"/>
        <v/>
      </c>
      <c r="AF17" s="616"/>
      <c r="AG17" s="151"/>
      <c r="AH17" s="616"/>
      <c r="AI17" s="151"/>
      <c r="AJ17" s="616"/>
      <c r="AK17" s="151"/>
      <c r="AL17" s="616"/>
      <c r="AM17" s="151"/>
      <c r="AN17" s="616"/>
      <c r="AO17" s="151"/>
      <c r="AQ17" s="611"/>
      <c r="AR17" s="31" t="str">
        <f t="shared" si="9"/>
        <v/>
      </c>
      <c r="AS17" s="613" t="str">
        <f t="shared" si="3"/>
        <v/>
      </c>
      <c r="AT17" s="616"/>
      <c r="AU17" s="151"/>
      <c r="AV17" s="616"/>
      <c r="AW17" s="151"/>
      <c r="AX17" s="616"/>
      <c r="AY17" s="151"/>
      <c r="AZ17" s="616"/>
      <c r="BA17" s="151"/>
      <c r="BB17" s="616"/>
      <c r="BC17" s="151"/>
      <c r="BE17" s="611"/>
      <c r="BF17" s="31" t="str">
        <f t="shared" si="10"/>
        <v/>
      </c>
      <c r="BG17" s="613" t="str">
        <f t="shared" si="4"/>
        <v/>
      </c>
      <c r="BH17" s="625"/>
      <c r="BI17" s="151"/>
      <c r="BJ17" s="625"/>
      <c r="BK17" s="151"/>
      <c r="BL17" s="625"/>
      <c r="BM17" s="151"/>
      <c r="BN17" s="625"/>
      <c r="BO17" s="151"/>
      <c r="BP17" s="625"/>
      <c r="BQ17" s="151"/>
      <c r="BS17" s="611"/>
      <c r="BT17" s="31" t="str">
        <f t="shared" si="11"/>
        <v/>
      </c>
      <c r="BU17" s="613" t="str">
        <f t="shared" si="5"/>
        <v/>
      </c>
      <c r="BV17" s="625"/>
      <c r="BW17" s="151"/>
      <c r="BX17" s="625"/>
      <c r="BY17" s="151"/>
      <c r="BZ17" s="625"/>
      <c r="CA17" s="151"/>
      <c r="CB17" s="625"/>
      <c r="CC17" s="151"/>
      <c r="CD17" s="625"/>
      <c r="CE17" s="151"/>
    </row>
    <row r="18" spans="1:83" ht="33" customHeight="1">
      <c r="A18" s="611"/>
      <c r="B18" s="31" t="str">
        <f t="shared" si="6"/>
        <v/>
      </c>
      <c r="C18" s="613" t="str">
        <f t="shared" si="0"/>
        <v/>
      </c>
      <c r="D18" s="616"/>
      <c r="E18" s="217"/>
      <c r="F18" s="616"/>
      <c r="G18" s="217"/>
      <c r="H18" s="616"/>
      <c r="I18" s="217"/>
      <c r="J18" s="616"/>
      <c r="K18" s="217"/>
      <c r="L18" s="616"/>
      <c r="M18" s="217"/>
      <c r="O18" s="611"/>
      <c r="P18" s="31" t="str">
        <f t="shared" si="7"/>
        <v/>
      </c>
      <c r="Q18" s="613" t="str">
        <f t="shared" si="1"/>
        <v/>
      </c>
      <c r="R18" s="616"/>
      <c r="S18" s="217"/>
      <c r="T18" s="616"/>
      <c r="U18" s="217"/>
      <c r="V18" s="616"/>
      <c r="W18" s="217"/>
      <c r="X18" s="616"/>
      <c r="Y18" s="217"/>
      <c r="Z18" s="616"/>
      <c r="AA18" s="217"/>
      <c r="AC18" s="611"/>
      <c r="AD18" s="31" t="str">
        <f t="shared" si="8"/>
        <v/>
      </c>
      <c r="AE18" s="613" t="str">
        <f t="shared" si="2"/>
        <v/>
      </c>
      <c r="AF18" s="616"/>
      <c r="AG18" s="217"/>
      <c r="AH18" s="616"/>
      <c r="AI18" s="217"/>
      <c r="AJ18" s="616"/>
      <c r="AK18" s="217"/>
      <c r="AL18" s="616"/>
      <c r="AM18" s="217"/>
      <c r="AN18" s="616"/>
      <c r="AO18" s="217"/>
      <c r="AQ18" s="620"/>
      <c r="AR18" s="31" t="str">
        <f t="shared" si="9"/>
        <v/>
      </c>
      <c r="AS18" s="613" t="str">
        <f t="shared" si="3"/>
        <v/>
      </c>
      <c r="AT18" s="616"/>
      <c r="AU18" s="217"/>
      <c r="AV18" s="616"/>
      <c r="AW18" s="217"/>
      <c r="AX18" s="616"/>
      <c r="AY18" s="217"/>
      <c r="AZ18" s="616"/>
      <c r="BA18" s="217"/>
      <c r="BB18" s="616"/>
      <c r="BC18" s="217"/>
      <c r="BE18" s="620"/>
      <c r="BF18" s="31" t="str">
        <f t="shared" si="10"/>
        <v/>
      </c>
      <c r="BG18" s="613" t="str">
        <f t="shared" si="4"/>
        <v/>
      </c>
      <c r="BH18" s="625"/>
      <c r="BI18" s="217"/>
      <c r="BJ18" s="625"/>
      <c r="BK18" s="217"/>
      <c r="BL18" s="625"/>
      <c r="BM18" s="217"/>
      <c r="BN18" s="625"/>
      <c r="BO18" s="217"/>
      <c r="BP18" s="625"/>
      <c r="BQ18" s="217"/>
      <c r="BS18" s="620"/>
      <c r="BT18" s="31" t="str">
        <f t="shared" si="11"/>
        <v/>
      </c>
      <c r="BU18" s="613" t="str">
        <f t="shared" si="5"/>
        <v/>
      </c>
      <c r="BV18" s="625"/>
      <c r="BW18" s="217"/>
      <c r="BX18" s="625"/>
      <c r="BY18" s="217"/>
      <c r="BZ18" s="625"/>
      <c r="CA18" s="217"/>
      <c r="CB18" s="625"/>
      <c r="CC18" s="217"/>
      <c r="CD18" s="625"/>
      <c r="CE18" s="217"/>
    </row>
    <row r="19" spans="1:83" ht="33" customHeight="1">
      <c r="A19" s="611"/>
      <c r="B19" s="31" t="str">
        <f t="shared" si="6"/>
        <v/>
      </c>
      <c r="C19" s="613" t="str">
        <f t="shared" si="0"/>
        <v/>
      </c>
      <c r="D19" s="616"/>
      <c r="E19" s="151"/>
      <c r="F19" s="616"/>
      <c r="G19" s="151"/>
      <c r="H19" s="616"/>
      <c r="I19" s="151"/>
      <c r="J19" s="616"/>
      <c r="K19" s="151"/>
      <c r="L19" s="616"/>
      <c r="M19" s="151"/>
      <c r="O19" s="611"/>
      <c r="P19" s="31" t="str">
        <f t="shared" si="7"/>
        <v/>
      </c>
      <c r="Q19" s="613" t="str">
        <f t="shared" si="1"/>
        <v/>
      </c>
      <c r="R19" s="616"/>
      <c r="S19" s="151"/>
      <c r="T19" s="616"/>
      <c r="U19" s="151"/>
      <c r="V19" s="616"/>
      <c r="W19" s="151"/>
      <c r="X19" s="616"/>
      <c r="Y19" s="151"/>
      <c r="Z19" s="616"/>
      <c r="AA19" s="151"/>
      <c r="AC19" s="611"/>
      <c r="AD19" s="31" t="str">
        <f t="shared" si="8"/>
        <v/>
      </c>
      <c r="AE19" s="613" t="str">
        <f t="shared" si="2"/>
        <v/>
      </c>
      <c r="AF19" s="616"/>
      <c r="AG19" s="151"/>
      <c r="AH19" s="616"/>
      <c r="AI19" s="151"/>
      <c r="AJ19" s="616"/>
      <c r="AK19" s="151"/>
      <c r="AL19" s="616"/>
      <c r="AM19" s="151"/>
      <c r="AN19" s="616"/>
      <c r="AO19" s="151"/>
      <c r="AQ19" s="611"/>
      <c r="AR19" s="31" t="str">
        <f t="shared" si="9"/>
        <v/>
      </c>
      <c r="AS19" s="613" t="str">
        <f t="shared" si="3"/>
        <v/>
      </c>
      <c r="AT19" s="616"/>
      <c r="AU19" s="151"/>
      <c r="AV19" s="616"/>
      <c r="AW19" s="151"/>
      <c r="AX19" s="616"/>
      <c r="AY19" s="151"/>
      <c r="AZ19" s="616"/>
      <c r="BA19" s="151"/>
      <c r="BB19" s="616"/>
      <c r="BC19" s="151"/>
      <c r="BE19" s="611"/>
      <c r="BF19" s="31" t="str">
        <f t="shared" si="10"/>
        <v/>
      </c>
      <c r="BG19" s="613" t="str">
        <f t="shared" si="4"/>
        <v/>
      </c>
      <c r="BH19" s="625"/>
      <c r="BI19" s="151"/>
      <c r="BJ19" s="625"/>
      <c r="BK19" s="151"/>
      <c r="BL19" s="625"/>
      <c r="BM19" s="151"/>
      <c r="BN19" s="625"/>
      <c r="BO19" s="151"/>
      <c r="BP19" s="625"/>
      <c r="BQ19" s="151"/>
      <c r="BS19" s="611"/>
      <c r="BT19" s="31" t="str">
        <f t="shared" si="11"/>
        <v/>
      </c>
      <c r="BU19" s="613" t="str">
        <f t="shared" si="5"/>
        <v/>
      </c>
      <c r="BV19" s="625"/>
      <c r="BW19" s="151"/>
      <c r="BX19" s="625"/>
      <c r="BY19" s="151"/>
      <c r="BZ19" s="625"/>
      <c r="CA19" s="151"/>
      <c r="CB19" s="625"/>
      <c r="CC19" s="151"/>
      <c r="CD19" s="625"/>
      <c r="CE19" s="151"/>
    </row>
    <row r="20" spans="1:83" ht="33" customHeight="1">
      <c r="A20" s="611"/>
      <c r="B20" s="31" t="str">
        <f t="shared" si="6"/>
        <v/>
      </c>
      <c r="C20" s="613" t="str">
        <f t="shared" si="0"/>
        <v/>
      </c>
      <c r="D20" s="616"/>
      <c r="E20" s="217"/>
      <c r="F20" s="616"/>
      <c r="G20" s="217"/>
      <c r="H20" s="616"/>
      <c r="I20" s="217"/>
      <c r="J20" s="616"/>
      <c r="K20" s="217"/>
      <c r="L20" s="616"/>
      <c r="M20" s="217"/>
      <c r="O20" s="611"/>
      <c r="P20" s="31" t="str">
        <f t="shared" si="7"/>
        <v/>
      </c>
      <c r="Q20" s="613" t="str">
        <f t="shared" si="1"/>
        <v/>
      </c>
      <c r="R20" s="616"/>
      <c r="S20" s="217"/>
      <c r="T20" s="616"/>
      <c r="U20" s="217"/>
      <c r="V20" s="616"/>
      <c r="W20" s="217"/>
      <c r="X20" s="616"/>
      <c r="Y20" s="217"/>
      <c r="Z20" s="616"/>
      <c r="AA20" s="217"/>
      <c r="AC20" s="611"/>
      <c r="AD20" s="31" t="str">
        <f t="shared" si="8"/>
        <v/>
      </c>
      <c r="AE20" s="613" t="str">
        <f t="shared" si="2"/>
        <v/>
      </c>
      <c r="AF20" s="616"/>
      <c r="AG20" s="217"/>
      <c r="AH20" s="616"/>
      <c r="AI20" s="217"/>
      <c r="AJ20" s="616"/>
      <c r="AK20" s="217"/>
      <c r="AL20" s="616"/>
      <c r="AM20" s="217"/>
      <c r="AN20" s="616"/>
      <c r="AO20" s="217"/>
      <c r="AQ20" s="620"/>
      <c r="AR20" s="31" t="str">
        <f t="shared" si="9"/>
        <v/>
      </c>
      <c r="AS20" s="613" t="str">
        <f t="shared" si="3"/>
        <v/>
      </c>
      <c r="AT20" s="616"/>
      <c r="AU20" s="217"/>
      <c r="AV20" s="616"/>
      <c r="AW20" s="217"/>
      <c r="AX20" s="616"/>
      <c r="AY20" s="217"/>
      <c r="AZ20" s="616"/>
      <c r="BA20" s="217"/>
      <c r="BB20" s="616"/>
      <c r="BC20" s="217"/>
      <c r="BE20" s="620"/>
      <c r="BF20" s="31" t="str">
        <f t="shared" si="10"/>
        <v/>
      </c>
      <c r="BG20" s="613" t="str">
        <f t="shared" si="4"/>
        <v/>
      </c>
      <c r="BH20" s="625"/>
      <c r="BI20" s="217"/>
      <c r="BJ20" s="625"/>
      <c r="BK20" s="217"/>
      <c r="BL20" s="625"/>
      <c r="BM20" s="217"/>
      <c r="BN20" s="625"/>
      <c r="BO20" s="217"/>
      <c r="BP20" s="625"/>
      <c r="BQ20" s="217"/>
      <c r="BS20" s="620"/>
      <c r="BT20" s="31" t="str">
        <f t="shared" si="11"/>
        <v/>
      </c>
      <c r="BU20" s="613" t="str">
        <f t="shared" si="5"/>
        <v/>
      </c>
      <c r="BV20" s="625"/>
      <c r="BW20" s="217"/>
      <c r="BX20" s="625"/>
      <c r="BY20" s="217"/>
      <c r="BZ20" s="625"/>
      <c r="CA20" s="217"/>
      <c r="CB20" s="625"/>
      <c r="CC20" s="217"/>
      <c r="CD20" s="625"/>
      <c r="CE20" s="217"/>
    </row>
    <row r="21" spans="1:83" ht="33" customHeight="1">
      <c r="A21" s="611"/>
      <c r="B21" s="31" t="str">
        <f t="shared" si="6"/>
        <v/>
      </c>
      <c r="C21" s="613" t="str">
        <f t="shared" si="0"/>
        <v/>
      </c>
      <c r="D21" s="616"/>
      <c r="E21" s="151"/>
      <c r="F21" s="616"/>
      <c r="G21" s="151"/>
      <c r="H21" s="616"/>
      <c r="I21" s="151"/>
      <c r="J21" s="616"/>
      <c r="K21" s="151"/>
      <c r="L21" s="616"/>
      <c r="M21" s="151"/>
      <c r="O21" s="611"/>
      <c r="P21" s="31" t="str">
        <f t="shared" si="7"/>
        <v/>
      </c>
      <c r="Q21" s="613" t="str">
        <f t="shared" si="1"/>
        <v/>
      </c>
      <c r="R21" s="616"/>
      <c r="S21" s="151"/>
      <c r="T21" s="616"/>
      <c r="U21" s="151"/>
      <c r="V21" s="616"/>
      <c r="W21" s="151"/>
      <c r="X21" s="616"/>
      <c r="Y21" s="151"/>
      <c r="Z21" s="616"/>
      <c r="AA21" s="151"/>
      <c r="AC21" s="611"/>
      <c r="AD21" s="31" t="str">
        <f t="shared" si="8"/>
        <v/>
      </c>
      <c r="AE21" s="613" t="str">
        <f t="shared" si="2"/>
        <v/>
      </c>
      <c r="AF21" s="616"/>
      <c r="AG21" s="151"/>
      <c r="AH21" s="616"/>
      <c r="AI21" s="151"/>
      <c r="AJ21" s="616"/>
      <c r="AK21" s="151"/>
      <c r="AL21" s="616"/>
      <c r="AM21" s="151"/>
      <c r="AN21" s="616"/>
      <c r="AO21" s="151"/>
      <c r="AQ21" s="611"/>
      <c r="AR21" s="31" t="str">
        <f t="shared" si="9"/>
        <v/>
      </c>
      <c r="AS21" s="613" t="str">
        <f t="shared" si="3"/>
        <v/>
      </c>
      <c r="AT21" s="616"/>
      <c r="AU21" s="151"/>
      <c r="AV21" s="616"/>
      <c r="AW21" s="151"/>
      <c r="AX21" s="616"/>
      <c r="AY21" s="151"/>
      <c r="AZ21" s="616"/>
      <c r="BA21" s="151"/>
      <c r="BB21" s="616"/>
      <c r="BC21" s="151"/>
      <c r="BE21" s="611"/>
      <c r="BF21" s="31" t="str">
        <f t="shared" si="10"/>
        <v/>
      </c>
      <c r="BG21" s="613" t="str">
        <f t="shared" si="4"/>
        <v/>
      </c>
      <c r="BH21" s="625"/>
      <c r="BI21" s="151"/>
      <c r="BJ21" s="625"/>
      <c r="BK21" s="151"/>
      <c r="BL21" s="625"/>
      <c r="BM21" s="151"/>
      <c r="BN21" s="625"/>
      <c r="BO21" s="151"/>
      <c r="BP21" s="625"/>
      <c r="BQ21" s="151"/>
      <c r="BS21" s="611"/>
      <c r="BT21" s="31" t="str">
        <f t="shared" si="11"/>
        <v/>
      </c>
      <c r="BU21" s="613" t="str">
        <f t="shared" si="5"/>
        <v/>
      </c>
      <c r="BV21" s="625"/>
      <c r="BW21" s="151"/>
      <c r="BX21" s="625"/>
      <c r="BY21" s="151"/>
      <c r="BZ21" s="625"/>
      <c r="CA21" s="151"/>
      <c r="CB21" s="625"/>
      <c r="CC21" s="151"/>
      <c r="CD21" s="625"/>
      <c r="CE21" s="151"/>
    </row>
    <row r="22" spans="1:83" ht="33" customHeight="1">
      <c r="A22" s="611"/>
      <c r="B22" s="31" t="str">
        <f t="shared" si="6"/>
        <v/>
      </c>
      <c r="C22" s="613" t="str">
        <f t="shared" si="0"/>
        <v/>
      </c>
      <c r="D22" s="616"/>
      <c r="E22" s="217"/>
      <c r="F22" s="616"/>
      <c r="G22" s="217"/>
      <c r="H22" s="616"/>
      <c r="I22" s="217"/>
      <c r="J22" s="616"/>
      <c r="K22" s="217"/>
      <c r="L22" s="616"/>
      <c r="M22" s="217"/>
      <c r="O22" s="611"/>
      <c r="P22" s="31" t="str">
        <f t="shared" si="7"/>
        <v/>
      </c>
      <c r="Q22" s="613" t="str">
        <f t="shared" si="1"/>
        <v/>
      </c>
      <c r="R22" s="616"/>
      <c r="S22" s="217"/>
      <c r="T22" s="616"/>
      <c r="U22" s="217"/>
      <c r="V22" s="616"/>
      <c r="W22" s="217"/>
      <c r="X22" s="616"/>
      <c r="Y22" s="217"/>
      <c r="Z22" s="616"/>
      <c r="AA22" s="217"/>
      <c r="AC22" s="611"/>
      <c r="AD22" s="31" t="str">
        <f t="shared" si="8"/>
        <v/>
      </c>
      <c r="AE22" s="613" t="str">
        <f t="shared" si="2"/>
        <v/>
      </c>
      <c r="AF22" s="616"/>
      <c r="AG22" s="217"/>
      <c r="AH22" s="616"/>
      <c r="AI22" s="217"/>
      <c r="AJ22" s="616"/>
      <c r="AK22" s="217"/>
      <c r="AL22" s="616"/>
      <c r="AM22" s="217"/>
      <c r="AN22" s="616"/>
      <c r="AO22" s="217"/>
      <c r="AQ22" s="620"/>
      <c r="AR22" s="31" t="str">
        <f t="shared" si="9"/>
        <v/>
      </c>
      <c r="AS22" s="613" t="str">
        <f t="shared" si="3"/>
        <v/>
      </c>
      <c r="AT22" s="616"/>
      <c r="AU22" s="217"/>
      <c r="AV22" s="616"/>
      <c r="AW22" s="217"/>
      <c r="AX22" s="616"/>
      <c r="AY22" s="217"/>
      <c r="AZ22" s="616"/>
      <c r="BA22" s="217"/>
      <c r="BB22" s="616"/>
      <c r="BC22" s="217"/>
      <c r="BE22" s="620"/>
      <c r="BF22" s="31" t="str">
        <f t="shared" si="10"/>
        <v/>
      </c>
      <c r="BG22" s="613" t="str">
        <f t="shared" si="4"/>
        <v/>
      </c>
      <c r="BH22" s="625"/>
      <c r="BI22" s="217"/>
      <c r="BJ22" s="625"/>
      <c r="BK22" s="217"/>
      <c r="BL22" s="625"/>
      <c r="BM22" s="217"/>
      <c r="BN22" s="625"/>
      <c r="BO22" s="217"/>
      <c r="BP22" s="625"/>
      <c r="BQ22" s="217"/>
      <c r="BS22" s="620"/>
      <c r="BT22" s="31" t="str">
        <f t="shared" si="11"/>
        <v/>
      </c>
      <c r="BU22" s="613" t="str">
        <f t="shared" si="5"/>
        <v/>
      </c>
      <c r="BV22" s="625"/>
      <c r="BW22" s="217"/>
      <c r="BX22" s="625"/>
      <c r="BY22" s="217"/>
      <c r="BZ22" s="625"/>
      <c r="CA22" s="217"/>
      <c r="CB22" s="625"/>
      <c r="CC22" s="217"/>
      <c r="CD22" s="625"/>
      <c r="CE22" s="217"/>
    </row>
    <row r="23" spans="1:83" ht="33" customHeight="1">
      <c r="A23" s="611"/>
      <c r="B23" s="31" t="str">
        <f t="shared" si="6"/>
        <v/>
      </c>
      <c r="C23" s="613" t="str">
        <f t="shared" si="0"/>
        <v/>
      </c>
      <c r="D23" s="616"/>
      <c r="E23" s="151"/>
      <c r="F23" s="616"/>
      <c r="G23" s="151"/>
      <c r="H23" s="616"/>
      <c r="I23" s="151"/>
      <c r="J23" s="616"/>
      <c r="K23" s="151"/>
      <c r="L23" s="616"/>
      <c r="M23" s="151"/>
      <c r="O23" s="611"/>
      <c r="P23" s="31" t="str">
        <f t="shared" si="7"/>
        <v/>
      </c>
      <c r="Q23" s="613" t="str">
        <f t="shared" si="1"/>
        <v/>
      </c>
      <c r="R23" s="616"/>
      <c r="S23" s="151"/>
      <c r="T23" s="616"/>
      <c r="U23" s="151"/>
      <c r="V23" s="616"/>
      <c r="W23" s="151"/>
      <c r="X23" s="616"/>
      <c r="Y23" s="151"/>
      <c r="Z23" s="616"/>
      <c r="AA23" s="151"/>
      <c r="AC23" s="611"/>
      <c r="AD23" s="31" t="str">
        <f t="shared" si="8"/>
        <v/>
      </c>
      <c r="AE23" s="613" t="str">
        <f t="shared" si="2"/>
        <v/>
      </c>
      <c r="AF23" s="616"/>
      <c r="AG23" s="151"/>
      <c r="AH23" s="616"/>
      <c r="AI23" s="151"/>
      <c r="AJ23" s="616"/>
      <c r="AK23" s="151"/>
      <c r="AL23" s="616"/>
      <c r="AM23" s="151"/>
      <c r="AN23" s="616"/>
      <c r="AO23" s="151"/>
      <c r="AQ23" s="611"/>
      <c r="AR23" s="31" t="str">
        <f t="shared" si="9"/>
        <v/>
      </c>
      <c r="AS23" s="613" t="str">
        <f t="shared" si="3"/>
        <v/>
      </c>
      <c r="AT23" s="616"/>
      <c r="AU23" s="151"/>
      <c r="AV23" s="616"/>
      <c r="AW23" s="151"/>
      <c r="AX23" s="616"/>
      <c r="AY23" s="151"/>
      <c r="AZ23" s="616"/>
      <c r="BA23" s="151"/>
      <c r="BB23" s="616"/>
      <c r="BC23" s="151"/>
      <c r="BE23" s="611"/>
      <c r="BF23" s="31" t="str">
        <f t="shared" si="10"/>
        <v/>
      </c>
      <c r="BG23" s="613" t="str">
        <f t="shared" si="4"/>
        <v/>
      </c>
      <c r="BH23" s="625"/>
      <c r="BI23" s="151"/>
      <c r="BJ23" s="625"/>
      <c r="BK23" s="151"/>
      <c r="BL23" s="625"/>
      <c r="BM23" s="151"/>
      <c r="BN23" s="625"/>
      <c r="BO23" s="151"/>
      <c r="BP23" s="625"/>
      <c r="BQ23" s="151"/>
      <c r="BS23" s="611"/>
      <c r="BT23" s="31" t="str">
        <f t="shared" si="11"/>
        <v/>
      </c>
      <c r="BU23" s="613" t="str">
        <f t="shared" si="5"/>
        <v/>
      </c>
      <c r="BV23" s="625"/>
      <c r="BW23" s="151"/>
      <c r="BX23" s="625"/>
      <c r="BY23" s="151"/>
      <c r="BZ23" s="625"/>
      <c r="CA23" s="151"/>
      <c r="CB23" s="625"/>
      <c r="CC23" s="151"/>
      <c r="CD23" s="625"/>
      <c r="CE23" s="151"/>
    </row>
    <row r="24" spans="1:83" ht="33" customHeight="1">
      <c r="A24" s="611"/>
      <c r="B24" s="31" t="str">
        <f t="shared" si="6"/>
        <v/>
      </c>
      <c r="C24" s="613" t="str">
        <f t="shared" si="0"/>
        <v/>
      </c>
      <c r="D24" s="616"/>
      <c r="E24" s="217"/>
      <c r="F24" s="616"/>
      <c r="G24" s="217"/>
      <c r="H24" s="616"/>
      <c r="I24" s="217"/>
      <c r="J24" s="616"/>
      <c r="K24" s="217"/>
      <c r="L24" s="616"/>
      <c r="M24" s="217"/>
      <c r="O24" s="611"/>
      <c r="P24" s="31" t="str">
        <f t="shared" si="7"/>
        <v/>
      </c>
      <c r="Q24" s="613" t="str">
        <f t="shared" si="1"/>
        <v/>
      </c>
      <c r="R24" s="616"/>
      <c r="S24" s="217"/>
      <c r="T24" s="616"/>
      <c r="U24" s="217"/>
      <c r="V24" s="616"/>
      <c r="W24" s="217"/>
      <c r="X24" s="616"/>
      <c r="Y24" s="217"/>
      <c r="Z24" s="616"/>
      <c r="AA24" s="217"/>
      <c r="AC24" s="611"/>
      <c r="AD24" s="31" t="str">
        <f t="shared" si="8"/>
        <v/>
      </c>
      <c r="AE24" s="613" t="str">
        <f t="shared" si="2"/>
        <v/>
      </c>
      <c r="AF24" s="616"/>
      <c r="AG24" s="217"/>
      <c r="AH24" s="616"/>
      <c r="AI24" s="217"/>
      <c r="AJ24" s="616"/>
      <c r="AK24" s="217"/>
      <c r="AL24" s="616"/>
      <c r="AM24" s="217"/>
      <c r="AN24" s="616"/>
      <c r="AO24" s="217"/>
      <c r="AQ24" s="620"/>
      <c r="AR24" s="31" t="str">
        <f t="shared" si="9"/>
        <v/>
      </c>
      <c r="AS24" s="613" t="str">
        <f t="shared" si="3"/>
        <v/>
      </c>
      <c r="AT24" s="616"/>
      <c r="AU24" s="217"/>
      <c r="AV24" s="616"/>
      <c r="AW24" s="217"/>
      <c r="AX24" s="616"/>
      <c r="AY24" s="217"/>
      <c r="AZ24" s="616"/>
      <c r="BA24" s="217"/>
      <c r="BB24" s="616"/>
      <c r="BC24" s="217"/>
      <c r="BE24" s="620"/>
      <c r="BF24" s="31" t="str">
        <f t="shared" si="10"/>
        <v/>
      </c>
      <c r="BG24" s="613" t="str">
        <f t="shared" si="4"/>
        <v/>
      </c>
      <c r="BH24" s="625"/>
      <c r="BI24" s="217"/>
      <c r="BJ24" s="625"/>
      <c r="BK24" s="217"/>
      <c r="BL24" s="625"/>
      <c r="BM24" s="217"/>
      <c r="BN24" s="625"/>
      <c r="BO24" s="217"/>
      <c r="BP24" s="625"/>
      <c r="BQ24" s="217"/>
      <c r="BS24" s="620"/>
      <c r="BT24" s="31" t="str">
        <f t="shared" si="11"/>
        <v/>
      </c>
      <c r="BU24" s="613" t="str">
        <f t="shared" si="5"/>
        <v/>
      </c>
      <c r="BV24" s="625"/>
      <c r="BW24" s="217"/>
      <c r="BX24" s="625"/>
      <c r="BY24" s="217"/>
      <c r="BZ24" s="625"/>
      <c r="CA24" s="217"/>
      <c r="CB24" s="625"/>
      <c r="CC24" s="217"/>
      <c r="CD24" s="625"/>
      <c r="CE24" s="217"/>
    </row>
    <row r="25" spans="1:83" ht="33" customHeight="1">
      <c r="A25" s="611"/>
      <c r="B25" s="31" t="str">
        <f t="shared" si="6"/>
        <v/>
      </c>
      <c r="C25" s="613" t="str">
        <f t="shared" si="0"/>
        <v/>
      </c>
      <c r="D25" s="616"/>
      <c r="E25" s="151"/>
      <c r="F25" s="616"/>
      <c r="G25" s="151"/>
      <c r="H25" s="616"/>
      <c r="I25" s="151"/>
      <c r="J25" s="616"/>
      <c r="K25" s="151"/>
      <c r="L25" s="616"/>
      <c r="M25" s="151"/>
      <c r="O25" s="611"/>
      <c r="P25" s="31" t="str">
        <f t="shared" si="7"/>
        <v/>
      </c>
      <c r="Q25" s="613" t="str">
        <f t="shared" si="1"/>
        <v/>
      </c>
      <c r="R25" s="616"/>
      <c r="S25" s="151"/>
      <c r="T25" s="616"/>
      <c r="U25" s="151"/>
      <c r="V25" s="616"/>
      <c r="W25" s="151"/>
      <c r="X25" s="616"/>
      <c r="Y25" s="151"/>
      <c r="Z25" s="616"/>
      <c r="AA25" s="151"/>
      <c r="AC25" s="611"/>
      <c r="AD25" s="31" t="str">
        <f t="shared" si="8"/>
        <v/>
      </c>
      <c r="AE25" s="613" t="str">
        <f t="shared" si="2"/>
        <v/>
      </c>
      <c r="AF25" s="616"/>
      <c r="AG25" s="151"/>
      <c r="AH25" s="616"/>
      <c r="AI25" s="151"/>
      <c r="AJ25" s="616"/>
      <c r="AK25" s="151"/>
      <c r="AL25" s="616"/>
      <c r="AM25" s="151"/>
      <c r="AN25" s="616"/>
      <c r="AO25" s="151"/>
      <c r="AQ25" s="611"/>
      <c r="AR25" s="31" t="str">
        <f t="shared" si="9"/>
        <v/>
      </c>
      <c r="AS25" s="613" t="str">
        <f t="shared" si="3"/>
        <v/>
      </c>
      <c r="AT25" s="616"/>
      <c r="AU25" s="151"/>
      <c r="AV25" s="616"/>
      <c r="AW25" s="151"/>
      <c r="AX25" s="616"/>
      <c r="AY25" s="151"/>
      <c r="AZ25" s="616"/>
      <c r="BA25" s="151"/>
      <c r="BB25" s="616"/>
      <c r="BC25" s="151"/>
      <c r="BE25" s="611"/>
      <c r="BF25" s="31" t="str">
        <f t="shared" si="10"/>
        <v/>
      </c>
      <c r="BG25" s="613" t="str">
        <f t="shared" si="4"/>
        <v/>
      </c>
      <c r="BH25" s="625"/>
      <c r="BI25" s="151"/>
      <c r="BJ25" s="625"/>
      <c r="BK25" s="151"/>
      <c r="BL25" s="625"/>
      <c r="BM25" s="151"/>
      <c r="BN25" s="625"/>
      <c r="BO25" s="151"/>
      <c r="BP25" s="625"/>
      <c r="BQ25" s="151"/>
      <c r="BS25" s="611"/>
      <c r="BT25" s="31" t="str">
        <f t="shared" si="11"/>
        <v/>
      </c>
      <c r="BU25" s="613" t="str">
        <f t="shared" si="5"/>
        <v/>
      </c>
      <c r="BV25" s="625"/>
      <c r="BW25" s="151"/>
      <c r="BX25" s="625"/>
      <c r="BY25" s="151"/>
      <c r="BZ25" s="625"/>
      <c r="CA25" s="151"/>
      <c r="CB25" s="625"/>
      <c r="CC25" s="151"/>
      <c r="CD25" s="625"/>
      <c r="CE25" s="151"/>
    </row>
    <row r="26" spans="1:83" ht="33" customHeight="1">
      <c r="A26" s="611"/>
      <c r="B26" s="31" t="str">
        <f t="shared" si="6"/>
        <v/>
      </c>
      <c r="C26" s="613" t="str">
        <f t="shared" si="0"/>
        <v/>
      </c>
      <c r="D26" s="616"/>
      <c r="E26" s="217"/>
      <c r="F26" s="616"/>
      <c r="G26" s="217"/>
      <c r="H26" s="616"/>
      <c r="I26" s="217"/>
      <c r="J26" s="616"/>
      <c r="K26" s="217"/>
      <c r="L26" s="616"/>
      <c r="M26" s="217"/>
      <c r="O26" s="611"/>
      <c r="P26" s="31" t="str">
        <f t="shared" si="7"/>
        <v/>
      </c>
      <c r="Q26" s="613" t="str">
        <f t="shared" si="1"/>
        <v/>
      </c>
      <c r="R26" s="616"/>
      <c r="S26" s="217"/>
      <c r="T26" s="616"/>
      <c r="U26" s="217"/>
      <c r="V26" s="616"/>
      <c r="W26" s="217"/>
      <c r="X26" s="616"/>
      <c r="Y26" s="217"/>
      <c r="Z26" s="616"/>
      <c r="AA26" s="217"/>
      <c r="AC26" s="611"/>
      <c r="AD26" s="31" t="str">
        <f t="shared" si="8"/>
        <v/>
      </c>
      <c r="AE26" s="613" t="str">
        <f t="shared" si="2"/>
        <v/>
      </c>
      <c r="AF26" s="616"/>
      <c r="AG26" s="217"/>
      <c r="AH26" s="616"/>
      <c r="AI26" s="217"/>
      <c r="AJ26" s="616"/>
      <c r="AK26" s="217"/>
      <c r="AL26" s="616"/>
      <c r="AM26" s="217"/>
      <c r="AN26" s="616"/>
      <c r="AO26" s="217"/>
      <c r="AQ26" s="620"/>
      <c r="AR26" s="31" t="str">
        <f t="shared" si="9"/>
        <v/>
      </c>
      <c r="AS26" s="613" t="str">
        <f t="shared" si="3"/>
        <v/>
      </c>
      <c r="AT26" s="616"/>
      <c r="AU26" s="217"/>
      <c r="AV26" s="616"/>
      <c r="AW26" s="217"/>
      <c r="AX26" s="616"/>
      <c r="AY26" s="217"/>
      <c r="AZ26" s="616"/>
      <c r="BA26" s="217"/>
      <c r="BB26" s="616"/>
      <c r="BC26" s="217"/>
      <c r="BE26" s="620"/>
      <c r="BF26" s="31" t="str">
        <f t="shared" si="10"/>
        <v/>
      </c>
      <c r="BG26" s="613" t="str">
        <f t="shared" si="4"/>
        <v/>
      </c>
      <c r="BH26" s="625"/>
      <c r="BI26" s="217"/>
      <c r="BJ26" s="625"/>
      <c r="BK26" s="217"/>
      <c r="BL26" s="625"/>
      <c r="BM26" s="217"/>
      <c r="BN26" s="625"/>
      <c r="BO26" s="217"/>
      <c r="BP26" s="625"/>
      <c r="BQ26" s="217"/>
      <c r="BS26" s="620"/>
      <c r="BT26" s="31" t="str">
        <f t="shared" si="11"/>
        <v/>
      </c>
      <c r="BU26" s="613" t="str">
        <f t="shared" si="5"/>
        <v/>
      </c>
      <c r="BV26" s="625"/>
      <c r="BW26" s="217"/>
      <c r="BX26" s="625"/>
      <c r="BY26" s="217"/>
      <c r="BZ26" s="625"/>
      <c r="CA26" s="217"/>
      <c r="CB26" s="625"/>
      <c r="CC26" s="217"/>
      <c r="CD26" s="625"/>
      <c r="CE26" s="217"/>
    </row>
    <row r="27" spans="1:83" ht="33" customHeight="1">
      <c r="A27" s="611"/>
      <c r="B27" s="31" t="str">
        <f t="shared" si="6"/>
        <v/>
      </c>
      <c r="C27" s="613" t="str">
        <f t="shared" si="0"/>
        <v/>
      </c>
      <c r="D27" s="616"/>
      <c r="E27" s="151"/>
      <c r="F27" s="616"/>
      <c r="G27" s="151"/>
      <c r="H27" s="616"/>
      <c r="I27" s="151"/>
      <c r="J27" s="616"/>
      <c r="K27" s="151"/>
      <c r="L27" s="616"/>
      <c r="M27" s="151"/>
      <c r="O27" s="611"/>
      <c r="P27" s="31" t="str">
        <f t="shared" si="7"/>
        <v/>
      </c>
      <c r="Q27" s="613" t="str">
        <f t="shared" si="1"/>
        <v/>
      </c>
      <c r="R27" s="616"/>
      <c r="S27" s="151"/>
      <c r="T27" s="616"/>
      <c r="U27" s="151"/>
      <c r="V27" s="616"/>
      <c r="W27" s="151"/>
      <c r="X27" s="616"/>
      <c r="Y27" s="151"/>
      <c r="Z27" s="616"/>
      <c r="AA27" s="151"/>
      <c r="AC27" s="611"/>
      <c r="AD27" s="31" t="str">
        <f t="shared" si="8"/>
        <v/>
      </c>
      <c r="AE27" s="613" t="str">
        <f t="shared" si="2"/>
        <v/>
      </c>
      <c r="AF27" s="616"/>
      <c r="AG27" s="151"/>
      <c r="AH27" s="616"/>
      <c r="AI27" s="151"/>
      <c r="AJ27" s="616"/>
      <c r="AK27" s="151"/>
      <c r="AL27" s="616"/>
      <c r="AM27" s="151"/>
      <c r="AN27" s="616"/>
      <c r="AO27" s="151"/>
      <c r="AQ27" s="611"/>
      <c r="AR27" s="31" t="str">
        <f t="shared" si="9"/>
        <v/>
      </c>
      <c r="AS27" s="613" t="str">
        <f t="shared" si="3"/>
        <v/>
      </c>
      <c r="AT27" s="616"/>
      <c r="AU27" s="151"/>
      <c r="AV27" s="616"/>
      <c r="AW27" s="151"/>
      <c r="AX27" s="616"/>
      <c r="AY27" s="151"/>
      <c r="AZ27" s="616"/>
      <c r="BA27" s="151"/>
      <c r="BB27" s="616"/>
      <c r="BC27" s="151"/>
      <c r="BE27" s="611"/>
      <c r="BF27" s="31" t="str">
        <f t="shared" si="10"/>
        <v/>
      </c>
      <c r="BG27" s="613" t="str">
        <f t="shared" si="4"/>
        <v/>
      </c>
      <c r="BH27" s="625"/>
      <c r="BI27" s="151"/>
      <c r="BJ27" s="625"/>
      <c r="BK27" s="151"/>
      <c r="BL27" s="625"/>
      <c r="BM27" s="151"/>
      <c r="BN27" s="625"/>
      <c r="BO27" s="151"/>
      <c r="BP27" s="625"/>
      <c r="BQ27" s="151"/>
      <c r="BS27" s="611"/>
      <c r="BT27" s="31" t="str">
        <f t="shared" si="11"/>
        <v/>
      </c>
      <c r="BU27" s="613" t="str">
        <f t="shared" si="5"/>
        <v/>
      </c>
      <c r="BV27" s="625"/>
      <c r="BW27" s="151"/>
      <c r="BX27" s="625"/>
      <c r="BY27" s="151"/>
      <c r="BZ27" s="625"/>
      <c r="CA27" s="151"/>
      <c r="CB27" s="625"/>
      <c r="CC27" s="151"/>
      <c r="CD27" s="625"/>
      <c r="CE27" s="151"/>
    </row>
    <row r="28" spans="1:83" ht="33" customHeight="1">
      <c r="A28" s="611"/>
      <c r="B28" s="31" t="str">
        <f t="shared" si="6"/>
        <v/>
      </c>
      <c r="C28" s="613" t="str">
        <f t="shared" si="0"/>
        <v/>
      </c>
      <c r="D28" s="616"/>
      <c r="E28" s="217"/>
      <c r="F28" s="616"/>
      <c r="G28" s="217"/>
      <c r="H28" s="616"/>
      <c r="I28" s="217"/>
      <c r="J28" s="616"/>
      <c r="K28" s="217"/>
      <c r="L28" s="616"/>
      <c r="M28" s="217"/>
      <c r="O28" s="611"/>
      <c r="P28" s="31" t="str">
        <f t="shared" si="7"/>
        <v/>
      </c>
      <c r="Q28" s="613" t="str">
        <f t="shared" si="1"/>
        <v/>
      </c>
      <c r="R28" s="616"/>
      <c r="S28" s="217"/>
      <c r="T28" s="616"/>
      <c r="U28" s="217"/>
      <c r="V28" s="616"/>
      <c r="W28" s="217"/>
      <c r="X28" s="616"/>
      <c r="Y28" s="217"/>
      <c r="Z28" s="616"/>
      <c r="AA28" s="217"/>
      <c r="AC28" s="611"/>
      <c r="AD28" s="31" t="str">
        <f t="shared" si="8"/>
        <v/>
      </c>
      <c r="AE28" s="613" t="str">
        <f t="shared" si="2"/>
        <v/>
      </c>
      <c r="AF28" s="616"/>
      <c r="AG28" s="217"/>
      <c r="AH28" s="616"/>
      <c r="AI28" s="217"/>
      <c r="AJ28" s="616"/>
      <c r="AK28" s="217"/>
      <c r="AL28" s="616"/>
      <c r="AM28" s="217"/>
      <c r="AN28" s="616"/>
      <c r="AO28" s="217"/>
      <c r="AQ28" s="620"/>
      <c r="AR28" s="31" t="str">
        <f t="shared" si="9"/>
        <v/>
      </c>
      <c r="AS28" s="613" t="str">
        <f t="shared" si="3"/>
        <v/>
      </c>
      <c r="AT28" s="616"/>
      <c r="AU28" s="217"/>
      <c r="AV28" s="616"/>
      <c r="AW28" s="217"/>
      <c r="AX28" s="616"/>
      <c r="AY28" s="217"/>
      <c r="AZ28" s="616"/>
      <c r="BA28" s="217"/>
      <c r="BB28" s="616"/>
      <c r="BC28" s="217"/>
      <c r="BE28" s="620"/>
      <c r="BF28" s="31" t="str">
        <f t="shared" si="10"/>
        <v/>
      </c>
      <c r="BG28" s="613" t="str">
        <f t="shared" si="4"/>
        <v/>
      </c>
      <c r="BH28" s="625"/>
      <c r="BI28" s="217"/>
      <c r="BJ28" s="625"/>
      <c r="BK28" s="217"/>
      <c r="BL28" s="625"/>
      <c r="BM28" s="217"/>
      <c r="BN28" s="625"/>
      <c r="BO28" s="217"/>
      <c r="BP28" s="625"/>
      <c r="BQ28" s="217"/>
      <c r="BS28" s="620"/>
      <c r="BT28" s="31" t="str">
        <f t="shared" si="11"/>
        <v/>
      </c>
      <c r="BU28" s="613" t="str">
        <f t="shared" si="5"/>
        <v/>
      </c>
      <c r="BV28" s="625"/>
      <c r="BW28" s="217"/>
      <c r="BX28" s="625"/>
      <c r="BY28" s="217"/>
      <c r="BZ28" s="625"/>
      <c r="CA28" s="217"/>
      <c r="CB28" s="625"/>
      <c r="CC28" s="217"/>
      <c r="CD28" s="625"/>
      <c r="CE28" s="217"/>
    </row>
    <row r="29" spans="1:83" ht="33" customHeight="1">
      <c r="A29" s="611"/>
      <c r="B29" s="31" t="str">
        <f t="shared" si="6"/>
        <v/>
      </c>
      <c r="C29" s="613" t="str">
        <f t="shared" si="0"/>
        <v/>
      </c>
      <c r="D29" s="616"/>
      <c r="E29" s="151"/>
      <c r="F29" s="616"/>
      <c r="G29" s="151"/>
      <c r="H29" s="616"/>
      <c r="I29" s="151"/>
      <c r="J29" s="616"/>
      <c r="K29" s="151"/>
      <c r="L29" s="616"/>
      <c r="M29" s="151"/>
      <c r="O29" s="611"/>
      <c r="P29" s="31" t="str">
        <f t="shared" si="7"/>
        <v/>
      </c>
      <c r="Q29" s="613" t="str">
        <f t="shared" si="1"/>
        <v/>
      </c>
      <c r="R29" s="616"/>
      <c r="S29" s="151"/>
      <c r="T29" s="616"/>
      <c r="U29" s="151"/>
      <c r="V29" s="616"/>
      <c r="W29" s="151"/>
      <c r="X29" s="616"/>
      <c r="Y29" s="151"/>
      <c r="Z29" s="616"/>
      <c r="AA29" s="151"/>
      <c r="AC29" s="611"/>
      <c r="AD29" s="31" t="str">
        <f t="shared" ref="AD29:AD35" si="12">IF(AC29&gt;0,AE28,"")</f>
        <v/>
      </c>
      <c r="AE29" s="613" t="str">
        <f t="shared" ref="AE29:AE35" si="13">IF(AC29&gt;0,AD29+AC29,"")</f>
        <v/>
      </c>
      <c r="AF29" s="616"/>
      <c r="AG29" s="151"/>
      <c r="AH29" s="616"/>
      <c r="AI29" s="151"/>
      <c r="AJ29" s="616"/>
      <c r="AK29" s="151"/>
      <c r="AL29" s="616"/>
      <c r="AM29" s="151"/>
      <c r="AN29" s="616"/>
      <c r="AO29" s="151"/>
      <c r="AQ29" s="611"/>
      <c r="AR29" s="31" t="str">
        <f t="shared" si="9"/>
        <v/>
      </c>
      <c r="AS29" s="613" t="str">
        <f t="shared" si="3"/>
        <v/>
      </c>
      <c r="AT29" s="616"/>
      <c r="AU29" s="151"/>
      <c r="AV29" s="616"/>
      <c r="AW29" s="151"/>
      <c r="AX29" s="616"/>
      <c r="AY29" s="151"/>
      <c r="AZ29" s="616"/>
      <c r="BA29" s="151"/>
      <c r="BB29" s="616"/>
      <c r="BC29" s="151"/>
      <c r="BE29" s="611"/>
      <c r="BF29" s="31" t="str">
        <f t="shared" si="10"/>
        <v/>
      </c>
      <c r="BG29" s="613" t="str">
        <f t="shared" si="4"/>
        <v/>
      </c>
      <c r="BH29" s="625"/>
      <c r="BI29" s="151"/>
      <c r="BJ29" s="625"/>
      <c r="BK29" s="151"/>
      <c r="BL29" s="625"/>
      <c r="BM29" s="151"/>
      <c r="BN29" s="625"/>
      <c r="BO29" s="151"/>
      <c r="BP29" s="625"/>
      <c r="BQ29" s="151"/>
      <c r="BS29" s="611"/>
      <c r="BT29" s="31" t="str">
        <f t="shared" si="11"/>
        <v/>
      </c>
      <c r="BU29" s="613" t="str">
        <f t="shared" si="5"/>
        <v/>
      </c>
      <c r="BV29" s="625"/>
      <c r="BW29" s="151"/>
      <c r="BX29" s="625"/>
      <c r="BY29" s="151"/>
      <c r="BZ29" s="625"/>
      <c r="CA29" s="151"/>
      <c r="CB29" s="625"/>
      <c r="CC29" s="151"/>
      <c r="CD29" s="625"/>
      <c r="CE29" s="151"/>
    </row>
    <row r="30" spans="1:83" ht="33" customHeight="1">
      <c r="A30" s="611"/>
      <c r="B30" s="31" t="str">
        <f t="shared" si="6"/>
        <v/>
      </c>
      <c r="C30" s="613" t="str">
        <f t="shared" si="0"/>
        <v/>
      </c>
      <c r="D30" s="616"/>
      <c r="E30" s="217"/>
      <c r="F30" s="616"/>
      <c r="G30" s="217"/>
      <c r="H30" s="616"/>
      <c r="I30" s="217"/>
      <c r="J30" s="616"/>
      <c r="K30" s="217"/>
      <c r="L30" s="616"/>
      <c r="M30" s="217"/>
      <c r="O30" s="611"/>
      <c r="P30" s="31" t="str">
        <f t="shared" si="7"/>
        <v/>
      </c>
      <c r="Q30" s="613" t="str">
        <f t="shared" si="1"/>
        <v/>
      </c>
      <c r="R30" s="616"/>
      <c r="S30" s="217"/>
      <c r="T30" s="616"/>
      <c r="U30" s="217"/>
      <c r="V30" s="616"/>
      <c r="W30" s="217"/>
      <c r="X30" s="616"/>
      <c r="Y30" s="217"/>
      <c r="Z30" s="616"/>
      <c r="AA30" s="217"/>
      <c r="AC30" s="611"/>
      <c r="AD30" s="31" t="str">
        <f t="shared" si="12"/>
        <v/>
      </c>
      <c r="AE30" s="613" t="str">
        <f t="shared" si="13"/>
        <v/>
      </c>
      <c r="AF30" s="616"/>
      <c r="AG30" s="217"/>
      <c r="AH30" s="616"/>
      <c r="AI30" s="217"/>
      <c r="AJ30" s="616"/>
      <c r="AK30" s="217"/>
      <c r="AL30" s="616"/>
      <c r="AM30" s="217"/>
      <c r="AN30" s="616"/>
      <c r="AO30" s="217"/>
      <c r="AQ30" s="620"/>
      <c r="AR30" s="31" t="str">
        <f t="shared" ref="AR30:AR35" si="14">IF(AQ30&gt;0,AS29,"")</f>
        <v/>
      </c>
      <c r="AS30" s="613" t="str">
        <f t="shared" ref="AS30:AS35" si="15">IF(AQ30&gt;0,AR30+AQ30,"")</f>
        <v/>
      </c>
      <c r="AT30" s="616"/>
      <c r="AU30" s="217"/>
      <c r="AV30" s="616"/>
      <c r="AW30" s="217"/>
      <c r="AX30" s="616"/>
      <c r="AY30" s="217"/>
      <c r="AZ30" s="616"/>
      <c r="BA30" s="217"/>
      <c r="BB30" s="616"/>
      <c r="BC30" s="217"/>
      <c r="BE30" s="620"/>
      <c r="BF30" s="31" t="str">
        <f t="shared" si="10"/>
        <v/>
      </c>
      <c r="BG30" s="613" t="str">
        <f t="shared" si="4"/>
        <v/>
      </c>
      <c r="BH30" s="625"/>
      <c r="BI30" s="217"/>
      <c r="BJ30" s="625"/>
      <c r="BK30" s="217"/>
      <c r="BL30" s="625"/>
      <c r="BM30" s="217"/>
      <c r="BN30" s="625"/>
      <c r="BO30" s="217"/>
      <c r="BP30" s="625"/>
      <c r="BQ30" s="217"/>
      <c r="BS30" s="620"/>
      <c r="BT30" s="31" t="str">
        <f t="shared" si="11"/>
        <v/>
      </c>
      <c r="BU30" s="613" t="str">
        <f t="shared" si="5"/>
        <v/>
      </c>
      <c r="BV30" s="625"/>
      <c r="BW30" s="217"/>
      <c r="BX30" s="625"/>
      <c r="BY30" s="217"/>
      <c r="BZ30" s="625"/>
      <c r="CA30" s="217"/>
      <c r="CB30" s="625"/>
      <c r="CC30" s="217"/>
      <c r="CD30" s="625"/>
      <c r="CE30" s="217"/>
    </row>
    <row r="31" spans="1:83" ht="33" customHeight="1">
      <c r="A31" s="611"/>
      <c r="B31" s="31" t="str">
        <f t="shared" si="6"/>
        <v/>
      </c>
      <c r="C31" s="613" t="str">
        <f t="shared" si="0"/>
        <v/>
      </c>
      <c r="D31" s="616"/>
      <c r="E31" s="151"/>
      <c r="F31" s="616"/>
      <c r="G31" s="151"/>
      <c r="H31" s="616"/>
      <c r="I31" s="151"/>
      <c r="J31" s="616"/>
      <c r="K31" s="151"/>
      <c r="L31" s="616"/>
      <c r="M31" s="151"/>
      <c r="O31" s="611"/>
      <c r="P31" s="31" t="str">
        <f t="shared" ref="P31:P35" si="16">IF(O31&gt;0,Q30,"")</f>
        <v/>
      </c>
      <c r="Q31" s="613" t="str">
        <f t="shared" ref="Q31:Q35" si="17">IF(O31&gt;0,P31+O31,"")</f>
        <v/>
      </c>
      <c r="R31" s="616"/>
      <c r="S31" s="151"/>
      <c r="T31" s="616"/>
      <c r="U31" s="151"/>
      <c r="V31" s="616"/>
      <c r="W31" s="151"/>
      <c r="X31" s="616"/>
      <c r="Y31" s="151"/>
      <c r="Z31" s="616"/>
      <c r="AA31" s="151"/>
      <c r="AC31" s="611"/>
      <c r="AD31" s="31" t="str">
        <f t="shared" si="12"/>
        <v/>
      </c>
      <c r="AE31" s="613" t="str">
        <f t="shared" si="13"/>
        <v/>
      </c>
      <c r="AF31" s="616"/>
      <c r="AG31" s="151"/>
      <c r="AH31" s="616"/>
      <c r="AI31" s="151"/>
      <c r="AJ31" s="616"/>
      <c r="AK31" s="151"/>
      <c r="AL31" s="616"/>
      <c r="AM31" s="151"/>
      <c r="AN31" s="616"/>
      <c r="AO31" s="151"/>
      <c r="AQ31" s="611"/>
      <c r="AR31" s="31" t="str">
        <f t="shared" si="14"/>
        <v/>
      </c>
      <c r="AS31" s="613" t="str">
        <f t="shared" si="15"/>
        <v/>
      </c>
      <c r="AT31" s="616"/>
      <c r="AU31" s="151"/>
      <c r="AV31" s="616"/>
      <c r="AW31" s="151"/>
      <c r="AX31" s="616"/>
      <c r="AY31" s="151"/>
      <c r="AZ31" s="616"/>
      <c r="BA31" s="151"/>
      <c r="BB31" s="616"/>
      <c r="BC31" s="151"/>
      <c r="BE31" s="611"/>
      <c r="BF31" s="31" t="str">
        <f t="shared" si="10"/>
        <v/>
      </c>
      <c r="BG31" s="613" t="str">
        <f t="shared" si="4"/>
        <v/>
      </c>
      <c r="BH31" s="625"/>
      <c r="BI31" s="151"/>
      <c r="BJ31" s="625"/>
      <c r="BK31" s="151"/>
      <c r="BL31" s="625"/>
      <c r="BM31" s="151"/>
      <c r="BN31" s="625"/>
      <c r="BO31" s="151"/>
      <c r="BP31" s="625"/>
      <c r="BQ31" s="151"/>
      <c r="BS31" s="611"/>
      <c r="BT31" s="31" t="str">
        <f t="shared" si="11"/>
        <v/>
      </c>
      <c r="BU31" s="613" t="str">
        <f t="shared" si="5"/>
        <v/>
      </c>
      <c r="BV31" s="625"/>
      <c r="BW31" s="151"/>
      <c r="BX31" s="625"/>
      <c r="BY31" s="151"/>
      <c r="BZ31" s="625"/>
      <c r="CA31" s="151"/>
      <c r="CB31" s="625"/>
      <c r="CC31" s="151"/>
      <c r="CD31" s="625"/>
      <c r="CE31" s="151"/>
    </row>
    <row r="32" spans="1:83" ht="33" customHeight="1">
      <c r="A32" s="611"/>
      <c r="B32" s="31" t="str">
        <f t="shared" si="6"/>
        <v/>
      </c>
      <c r="C32" s="613" t="str">
        <f t="shared" si="0"/>
        <v/>
      </c>
      <c r="D32" s="616"/>
      <c r="E32" s="217"/>
      <c r="F32" s="616"/>
      <c r="G32" s="217"/>
      <c r="H32" s="616"/>
      <c r="I32" s="217"/>
      <c r="J32" s="616"/>
      <c r="K32" s="217"/>
      <c r="L32" s="616"/>
      <c r="M32" s="217"/>
      <c r="O32" s="611"/>
      <c r="P32" s="31" t="str">
        <f t="shared" si="16"/>
        <v/>
      </c>
      <c r="Q32" s="613" t="str">
        <f t="shared" si="17"/>
        <v/>
      </c>
      <c r="R32" s="616"/>
      <c r="S32" s="217"/>
      <c r="T32" s="616"/>
      <c r="U32" s="217"/>
      <c r="V32" s="616"/>
      <c r="W32" s="217"/>
      <c r="X32" s="616"/>
      <c r="Y32" s="217"/>
      <c r="Z32" s="616"/>
      <c r="AA32" s="217"/>
      <c r="AC32" s="611"/>
      <c r="AD32" s="31" t="str">
        <f t="shared" si="12"/>
        <v/>
      </c>
      <c r="AE32" s="613" t="str">
        <f t="shared" si="13"/>
        <v/>
      </c>
      <c r="AF32" s="616"/>
      <c r="AG32" s="217"/>
      <c r="AH32" s="616"/>
      <c r="AI32" s="217"/>
      <c r="AJ32" s="616"/>
      <c r="AK32" s="217"/>
      <c r="AL32" s="616"/>
      <c r="AM32" s="217"/>
      <c r="AN32" s="616"/>
      <c r="AO32" s="217"/>
      <c r="AQ32" s="620"/>
      <c r="AR32" s="31" t="str">
        <f t="shared" si="14"/>
        <v/>
      </c>
      <c r="AS32" s="613" t="str">
        <f t="shared" si="15"/>
        <v/>
      </c>
      <c r="AT32" s="616"/>
      <c r="AU32" s="217"/>
      <c r="AV32" s="616"/>
      <c r="AW32" s="217"/>
      <c r="AX32" s="616"/>
      <c r="AY32" s="217"/>
      <c r="AZ32" s="616"/>
      <c r="BA32" s="217"/>
      <c r="BB32" s="616"/>
      <c r="BC32" s="217"/>
      <c r="BE32" s="620"/>
      <c r="BF32" s="31" t="str">
        <f t="shared" si="10"/>
        <v/>
      </c>
      <c r="BG32" s="613" t="str">
        <f t="shared" si="4"/>
        <v/>
      </c>
      <c r="BH32" s="625"/>
      <c r="BI32" s="217"/>
      <c r="BJ32" s="625"/>
      <c r="BK32" s="217"/>
      <c r="BL32" s="625"/>
      <c r="BM32" s="217"/>
      <c r="BN32" s="625"/>
      <c r="BO32" s="217"/>
      <c r="BP32" s="625"/>
      <c r="BQ32" s="217"/>
      <c r="BS32" s="620"/>
      <c r="BT32" s="31" t="str">
        <f t="shared" si="11"/>
        <v/>
      </c>
      <c r="BU32" s="613" t="str">
        <f t="shared" si="5"/>
        <v/>
      </c>
      <c r="BV32" s="625"/>
      <c r="BW32" s="217"/>
      <c r="BX32" s="625"/>
      <c r="BY32" s="217"/>
      <c r="BZ32" s="625"/>
      <c r="CA32" s="217"/>
      <c r="CB32" s="625"/>
      <c r="CC32" s="217"/>
      <c r="CD32" s="625"/>
      <c r="CE32" s="217"/>
    </row>
    <row r="33" spans="1:83" ht="33" customHeight="1">
      <c r="A33" s="611"/>
      <c r="B33" s="31" t="str">
        <f t="shared" si="6"/>
        <v/>
      </c>
      <c r="C33" s="613" t="str">
        <f t="shared" si="0"/>
        <v/>
      </c>
      <c r="D33" s="616"/>
      <c r="E33" s="151"/>
      <c r="F33" s="616"/>
      <c r="G33" s="151"/>
      <c r="H33" s="616"/>
      <c r="I33" s="151"/>
      <c r="J33" s="616"/>
      <c r="K33" s="151"/>
      <c r="L33" s="616"/>
      <c r="M33" s="151"/>
      <c r="O33" s="611"/>
      <c r="P33" s="31" t="str">
        <f t="shared" si="16"/>
        <v/>
      </c>
      <c r="Q33" s="613" t="str">
        <f t="shared" si="17"/>
        <v/>
      </c>
      <c r="R33" s="616"/>
      <c r="S33" s="151"/>
      <c r="T33" s="616"/>
      <c r="U33" s="151"/>
      <c r="V33" s="616"/>
      <c r="W33" s="151"/>
      <c r="X33" s="616"/>
      <c r="Y33" s="151"/>
      <c r="Z33" s="616"/>
      <c r="AA33" s="151"/>
      <c r="AC33" s="611"/>
      <c r="AD33" s="31" t="str">
        <f t="shared" si="12"/>
        <v/>
      </c>
      <c r="AE33" s="613" t="str">
        <f t="shared" si="13"/>
        <v/>
      </c>
      <c r="AF33" s="616"/>
      <c r="AG33" s="151"/>
      <c r="AH33" s="616"/>
      <c r="AI33" s="151"/>
      <c r="AJ33" s="616"/>
      <c r="AK33" s="151"/>
      <c r="AL33" s="616"/>
      <c r="AM33" s="151"/>
      <c r="AN33" s="616"/>
      <c r="AO33" s="151"/>
      <c r="AQ33" s="611"/>
      <c r="AR33" s="31" t="str">
        <f t="shared" si="14"/>
        <v/>
      </c>
      <c r="AS33" s="613" t="str">
        <f t="shared" si="15"/>
        <v/>
      </c>
      <c r="AT33" s="616"/>
      <c r="AU33" s="151"/>
      <c r="AV33" s="616"/>
      <c r="AW33" s="151"/>
      <c r="AX33" s="616"/>
      <c r="AY33" s="151"/>
      <c r="AZ33" s="616"/>
      <c r="BA33" s="151"/>
      <c r="BB33" s="616"/>
      <c r="BC33" s="151"/>
      <c r="BE33" s="611"/>
      <c r="BF33" s="31" t="str">
        <f t="shared" si="10"/>
        <v/>
      </c>
      <c r="BG33" s="613" t="str">
        <f t="shared" si="4"/>
        <v/>
      </c>
      <c r="BH33" s="625"/>
      <c r="BI33" s="151"/>
      <c r="BJ33" s="625"/>
      <c r="BK33" s="151"/>
      <c r="BL33" s="625"/>
      <c r="BM33" s="151"/>
      <c r="BN33" s="625"/>
      <c r="BO33" s="151"/>
      <c r="BP33" s="625"/>
      <c r="BQ33" s="151"/>
      <c r="BS33" s="611"/>
      <c r="BT33" s="31" t="str">
        <f t="shared" si="11"/>
        <v/>
      </c>
      <c r="BU33" s="613" t="str">
        <f t="shared" si="5"/>
        <v/>
      </c>
      <c r="BV33" s="625"/>
      <c r="BW33" s="151"/>
      <c r="BX33" s="625"/>
      <c r="BY33" s="151"/>
      <c r="BZ33" s="625"/>
      <c r="CA33" s="151"/>
      <c r="CB33" s="625"/>
      <c r="CC33" s="151"/>
      <c r="CD33" s="625"/>
      <c r="CE33" s="151"/>
    </row>
    <row r="34" spans="1:83" ht="33" customHeight="1">
      <c r="A34" s="611"/>
      <c r="B34" s="31" t="str">
        <f t="shared" si="6"/>
        <v/>
      </c>
      <c r="C34" s="613" t="str">
        <f t="shared" si="0"/>
        <v/>
      </c>
      <c r="D34" s="616"/>
      <c r="E34" s="217"/>
      <c r="F34" s="616"/>
      <c r="G34" s="217"/>
      <c r="H34" s="616"/>
      <c r="I34" s="217"/>
      <c r="J34" s="616"/>
      <c r="K34" s="217"/>
      <c r="L34" s="616"/>
      <c r="M34" s="217"/>
      <c r="O34" s="611"/>
      <c r="P34" s="31" t="str">
        <f t="shared" si="16"/>
        <v/>
      </c>
      <c r="Q34" s="613" t="str">
        <f t="shared" si="17"/>
        <v/>
      </c>
      <c r="R34" s="616"/>
      <c r="S34" s="217"/>
      <c r="T34" s="616"/>
      <c r="U34" s="217"/>
      <c r="V34" s="616"/>
      <c r="W34" s="217"/>
      <c r="X34" s="616"/>
      <c r="Y34" s="217"/>
      <c r="Z34" s="616"/>
      <c r="AA34" s="217"/>
      <c r="AC34" s="611"/>
      <c r="AD34" s="31" t="str">
        <f t="shared" si="12"/>
        <v/>
      </c>
      <c r="AE34" s="613" t="str">
        <f t="shared" si="13"/>
        <v/>
      </c>
      <c r="AF34" s="616"/>
      <c r="AG34" s="217"/>
      <c r="AH34" s="616"/>
      <c r="AI34" s="217"/>
      <c r="AJ34" s="616"/>
      <c r="AK34" s="217"/>
      <c r="AL34" s="616"/>
      <c r="AM34" s="217"/>
      <c r="AN34" s="616"/>
      <c r="AO34" s="217"/>
      <c r="AQ34" s="620"/>
      <c r="AR34" s="31" t="str">
        <f t="shared" si="14"/>
        <v/>
      </c>
      <c r="AS34" s="613" t="str">
        <f t="shared" si="15"/>
        <v/>
      </c>
      <c r="AT34" s="616"/>
      <c r="AU34" s="217"/>
      <c r="AV34" s="616"/>
      <c r="AW34" s="217"/>
      <c r="AX34" s="616"/>
      <c r="AY34" s="217"/>
      <c r="AZ34" s="616"/>
      <c r="BA34" s="217"/>
      <c r="BB34" s="616"/>
      <c r="BC34" s="217"/>
      <c r="BE34" s="620"/>
      <c r="BF34" s="31" t="str">
        <f t="shared" si="10"/>
        <v/>
      </c>
      <c r="BG34" s="613" t="str">
        <f t="shared" si="4"/>
        <v/>
      </c>
      <c r="BH34" s="625"/>
      <c r="BI34" s="217"/>
      <c r="BJ34" s="625"/>
      <c r="BK34" s="217"/>
      <c r="BL34" s="625"/>
      <c r="BM34" s="217"/>
      <c r="BN34" s="625"/>
      <c r="BO34" s="217"/>
      <c r="BP34" s="625"/>
      <c r="BQ34" s="217"/>
      <c r="BS34" s="620"/>
      <c r="BT34" s="31" t="str">
        <f t="shared" si="11"/>
        <v/>
      </c>
      <c r="BU34" s="613" t="str">
        <f t="shared" si="5"/>
        <v/>
      </c>
      <c r="BV34" s="625"/>
      <c r="BW34" s="217"/>
      <c r="BX34" s="625"/>
      <c r="BY34" s="217"/>
      <c r="BZ34" s="625"/>
      <c r="CA34" s="217"/>
      <c r="CB34" s="625"/>
      <c r="CC34" s="217"/>
      <c r="CD34" s="625"/>
      <c r="CE34" s="217"/>
    </row>
    <row r="35" spans="1:83" ht="33" customHeight="1">
      <c r="A35" s="611"/>
      <c r="B35" s="31" t="str">
        <f t="shared" si="6"/>
        <v/>
      </c>
      <c r="C35" s="613" t="str">
        <f t="shared" si="0"/>
        <v/>
      </c>
      <c r="D35" s="616"/>
      <c r="E35" s="151"/>
      <c r="F35" s="616"/>
      <c r="G35" s="151"/>
      <c r="H35" s="616"/>
      <c r="I35" s="151"/>
      <c r="J35" s="616"/>
      <c r="K35" s="151"/>
      <c r="L35" s="616"/>
      <c r="M35" s="151"/>
      <c r="O35" s="611"/>
      <c r="P35" s="31" t="str">
        <f t="shared" si="16"/>
        <v/>
      </c>
      <c r="Q35" s="613" t="str">
        <f t="shared" si="17"/>
        <v/>
      </c>
      <c r="R35" s="616"/>
      <c r="S35" s="151"/>
      <c r="T35" s="616"/>
      <c r="U35" s="151"/>
      <c r="V35" s="616"/>
      <c r="W35" s="151"/>
      <c r="X35" s="616"/>
      <c r="Y35" s="151"/>
      <c r="Z35" s="616"/>
      <c r="AA35" s="151"/>
      <c r="AC35" s="611"/>
      <c r="AD35" s="31" t="str">
        <f t="shared" si="12"/>
        <v/>
      </c>
      <c r="AE35" s="613" t="str">
        <f t="shared" si="13"/>
        <v/>
      </c>
      <c r="AF35" s="616"/>
      <c r="AG35" s="151"/>
      <c r="AH35" s="616"/>
      <c r="AI35" s="151"/>
      <c r="AJ35" s="616"/>
      <c r="AK35" s="151"/>
      <c r="AL35" s="616"/>
      <c r="AM35" s="151"/>
      <c r="AN35" s="616"/>
      <c r="AO35" s="151"/>
      <c r="AQ35" s="611"/>
      <c r="AR35" s="31" t="str">
        <f t="shared" si="14"/>
        <v/>
      </c>
      <c r="AS35" s="613" t="str">
        <f t="shared" si="15"/>
        <v/>
      </c>
      <c r="AT35" s="616"/>
      <c r="AU35" s="151"/>
      <c r="AV35" s="616"/>
      <c r="AW35" s="151"/>
      <c r="AX35" s="616"/>
      <c r="AY35" s="151"/>
      <c r="AZ35" s="616"/>
      <c r="BA35" s="151"/>
      <c r="BB35" s="616"/>
      <c r="BC35" s="151"/>
      <c r="BE35" s="611"/>
      <c r="BF35" s="31" t="str">
        <f t="shared" si="10"/>
        <v/>
      </c>
      <c r="BG35" s="613" t="str">
        <f t="shared" si="4"/>
        <v/>
      </c>
      <c r="BH35" s="625"/>
      <c r="BI35" s="151"/>
      <c r="BJ35" s="625"/>
      <c r="BK35" s="151"/>
      <c r="BL35" s="625"/>
      <c r="BM35" s="151"/>
      <c r="BN35" s="625"/>
      <c r="BO35" s="151"/>
      <c r="BP35" s="625"/>
      <c r="BQ35" s="151"/>
      <c r="BS35" s="611"/>
      <c r="BT35" s="31" t="str">
        <f t="shared" si="11"/>
        <v/>
      </c>
      <c r="BU35" s="613" t="str">
        <f t="shared" si="5"/>
        <v/>
      </c>
      <c r="BV35" s="625"/>
      <c r="BW35" s="151"/>
      <c r="BX35" s="625"/>
      <c r="BY35" s="151"/>
      <c r="BZ35" s="625"/>
      <c r="CA35" s="151"/>
      <c r="CB35" s="625"/>
      <c r="CC35" s="151"/>
      <c r="CD35" s="625"/>
      <c r="CE35" s="151"/>
    </row>
    <row r="36" spans="1:83" ht="33" customHeight="1">
      <c r="A36" s="611"/>
      <c r="B36" s="31" t="str">
        <f t="shared" ref="B36:B40" si="18">IF(A36&gt;0,C35,"")</f>
        <v/>
      </c>
      <c r="C36" s="613" t="str">
        <f t="shared" ref="C36:C40" si="19">IF(A36&gt;0,B36+A36,"")</f>
        <v/>
      </c>
      <c r="D36" s="616"/>
      <c r="E36" s="151"/>
      <c r="F36" s="616"/>
      <c r="G36" s="151"/>
      <c r="H36" s="616"/>
      <c r="I36" s="151"/>
      <c r="J36" s="616"/>
      <c r="K36" s="151"/>
      <c r="L36" s="616"/>
      <c r="M36" s="151"/>
      <c r="O36" s="611"/>
      <c r="P36" s="31" t="str">
        <f t="shared" ref="P36:P40" si="20">IF(O36&gt;0,Q35,"")</f>
        <v/>
      </c>
      <c r="Q36" s="613" t="str">
        <f t="shared" ref="Q36:Q40" si="21">IF(O36&gt;0,P36+O36,"")</f>
        <v/>
      </c>
      <c r="R36" s="616"/>
      <c r="S36" s="151"/>
      <c r="T36" s="616"/>
      <c r="U36" s="151"/>
      <c r="V36" s="616"/>
      <c r="W36" s="151"/>
      <c r="X36" s="616"/>
      <c r="Y36" s="151"/>
      <c r="Z36" s="616"/>
      <c r="AA36" s="151"/>
      <c r="AC36" s="611"/>
      <c r="AD36" s="31" t="str">
        <f t="shared" ref="AD36:AD40" si="22">IF(AC36&gt;0,AE35,"")</f>
        <v/>
      </c>
      <c r="AE36" s="613" t="str">
        <f t="shared" ref="AE36:AE40" si="23">IF(AC36&gt;0,AD36+AC36,"")</f>
        <v/>
      </c>
      <c r="AF36" s="616"/>
      <c r="AG36" s="151"/>
      <c r="AH36" s="616"/>
      <c r="AI36" s="151"/>
      <c r="AJ36" s="616"/>
      <c r="AK36" s="151"/>
      <c r="AL36" s="616"/>
      <c r="AM36" s="151"/>
      <c r="AN36" s="616"/>
      <c r="AO36" s="151"/>
      <c r="AQ36" s="620"/>
      <c r="AR36" s="31" t="str">
        <f t="shared" ref="AR36:AR40" si="24">IF(AQ36&gt;0,AS35,"")</f>
        <v/>
      </c>
      <c r="AS36" s="613" t="str">
        <f t="shared" ref="AS36:AS40" si="25">IF(AQ36&gt;0,AR36+AQ36,"")</f>
        <v/>
      </c>
      <c r="AT36" s="616"/>
      <c r="AU36" s="151"/>
      <c r="AV36" s="616"/>
      <c r="AW36" s="151"/>
      <c r="AX36" s="616"/>
      <c r="AY36" s="151"/>
      <c r="AZ36" s="616"/>
      <c r="BA36" s="151"/>
      <c r="BB36" s="616"/>
      <c r="BC36" s="151"/>
      <c r="BE36" s="620"/>
      <c r="BF36" s="31" t="str">
        <f t="shared" ref="BF36:BF40" si="26">IF(BE36&gt;0,BG35,"")</f>
        <v/>
      </c>
      <c r="BG36" s="613" t="str">
        <f t="shared" ref="BG36:BG40" si="27">IF(BE36&gt;0,BF36+BE36,"")</f>
        <v/>
      </c>
      <c r="BH36" s="625"/>
      <c r="BI36" s="151"/>
      <c r="BJ36" s="625"/>
      <c r="BK36" s="151"/>
      <c r="BL36" s="625"/>
      <c r="BM36" s="151"/>
      <c r="BN36" s="625"/>
      <c r="BO36" s="151"/>
      <c r="BP36" s="625"/>
      <c r="BQ36" s="151"/>
      <c r="BS36" s="620"/>
      <c r="BT36" s="31" t="str">
        <f t="shared" ref="BT36:BT40" si="28">IF(BS36&gt;0,BU35,"")</f>
        <v/>
      </c>
      <c r="BU36" s="613" t="str">
        <f t="shared" ref="BU36:BU40" si="29">IF(BS36&gt;0,BT36+BS36,"")</f>
        <v/>
      </c>
      <c r="BV36" s="625"/>
      <c r="BW36" s="151"/>
      <c r="BX36" s="625"/>
      <c r="BY36" s="151"/>
      <c r="BZ36" s="625"/>
      <c r="CA36" s="151"/>
      <c r="CB36" s="625"/>
      <c r="CC36" s="151"/>
      <c r="CD36" s="625"/>
      <c r="CE36" s="151"/>
    </row>
    <row r="37" spans="1:83" ht="33" customHeight="1">
      <c r="A37" s="611"/>
      <c r="B37" s="31" t="str">
        <f t="shared" si="18"/>
        <v/>
      </c>
      <c r="C37" s="613" t="str">
        <f t="shared" si="19"/>
        <v/>
      </c>
      <c r="D37" s="616"/>
      <c r="E37" s="217"/>
      <c r="F37" s="616"/>
      <c r="G37" s="217"/>
      <c r="H37" s="616"/>
      <c r="I37" s="217"/>
      <c r="J37" s="616"/>
      <c r="K37" s="217"/>
      <c r="L37" s="616"/>
      <c r="M37" s="217"/>
      <c r="O37" s="611"/>
      <c r="P37" s="31" t="str">
        <f t="shared" si="20"/>
        <v/>
      </c>
      <c r="Q37" s="613" t="str">
        <f t="shared" si="21"/>
        <v/>
      </c>
      <c r="R37" s="616"/>
      <c r="S37" s="217"/>
      <c r="T37" s="616"/>
      <c r="U37" s="217"/>
      <c r="V37" s="616"/>
      <c r="W37" s="217"/>
      <c r="X37" s="616"/>
      <c r="Y37" s="217"/>
      <c r="Z37" s="616"/>
      <c r="AA37" s="217"/>
      <c r="AC37" s="611"/>
      <c r="AD37" s="31" t="str">
        <f t="shared" si="22"/>
        <v/>
      </c>
      <c r="AE37" s="613" t="str">
        <f t="shared" si="23"/>
        <v/>
      </c>
      <c r="AF37" s="616"/>
      <c r="AG37" s="217"/>
      <c r="AH37" s="616"/>
      <c r="AI37" s="217"/>
      <c r="AJ37" s="616"/>
      <c r="AK37" s="217"/>
      <c r="AL37" s="616"/>
      <c r="AM37" s="217"/>
      <c r="AN37" s="616"/>
      <c r="AO37" s="217"/>
      <c r="AQ37" s="611"/>
      <c r="AR37" s="31" t="str">
        <f t="shared" si="24"/>
        <v/>
      </c>
      <c r="AS37" s="613" t="str">
        <f t="shared" si="25"/>
        <v/>
      </c>
      <c r="AT37" s="616"/>
      <c r="AU37" s="217"/>
      <c r="AV37" s="616"/>
      <c r="AW37" s="217"/>
      <c r="AX37" s="616"/>
      <c r="AY37" s="217"/>
      <c r="AZ37" s="616"/>
      <c r="BA37" s="217"/>
      <c r="BB37" s="616"/>
      <c r="BC37" s="217"/>
      <c r="BE37" s="611"/>
      <c r="BF37" s="31" t="str">
        <f t="shared" si="26"/>
        <v/>
      </c>
      <c r="BG37" s="613" t="str">
        <f t="shared" si="27"/>
        <v/>
      </c>
      <c r="BH37" s="625"/>
      <c r="BI37" s="217"/>
      <c r="BJ37" s="625"/>
      <c r="BK37" s="217"/>
      <c r="BL37" s="625"/>
      <c r="BM37" s="217"/>
      <c r="BN37" s="625"/>
      <c r="BO37" s="217"/>
      <c r="BP37" s="625"/>
      <c r="BQ37" s="217"/>
      <c r="BS37" s="611"/>
      <c r="BT37" s="31" t="str">
        <f t="shared" si="28"/>
        <v/>
      </c>
      <c r="BU37" s="613" t="str">
        <f t="shared" si="29"/>
        <v/>
      </c>
      <c r="BV37" s="625"/>
      <c r="BW37" s="217"/>
      <c r="BX37" s="625"/>
      <c r="BY37" s="217"/>
      <c r="BZ37" s="625"/>
      <c r="CA37" s="217"/>
      <c r="CB37" s="625"/>
      <c r="CC37" s="217"/>
      <c r="CD37" s="625"/>
      <c r="CE37" s="217"/>
    </row>
    <row r="38" spans="1:83" ht="33" customHeight="1">
      <c r="A38" s="611"/>
      <c r="B38" s="31" t="str">
        <f t="shared" si="18"/>
        <v/>
      </c>
      <c r="C38" s="613" t="str">
        <f t="shared" si="19"/>
        <v/>
      </c>
      <c r="D38" s="616"/>
      <c r="E38" s="151"/>
      <c r="F38" s="616"/>
      <c r="G38" s="151"/>
      <c r="H38" s="616"/>
      <c r="I38" s="151"/>
      <c r="J38" s="616"/>
      <c r="K38" s="151"/>
      <c r="L38" s="616"/>
      <c r="M38" s="151"/>
      <c r="O38" s="611"/>
      <c r="P38" s="31" t="str">
        <f t="shared" si="20"/>
        <v/>
      </c>
      <c r="Q38" s="613" t="str">
        <f t="shared" si="21"/>
        <v/>
      </c>
      <c r="R38" s="616"/>
      <c r="S38" s="151"/>
      <c r="T38" s="616"/>
      <c r="U38" s="151"/>
      <c r="V38" s="616"/>
      <c r="W38" s="151"/>
      <c r="X38" s="616"/>
      <c r="Y38" s="151"/>
      <c r="Z38" s="616"/>
      <c r="AA38" s="151"/>
      <c r="AC38" s="611"/>
      <c r="AD38" s="31" t="str">
        <f t="shared" si="22"/>
        <v/>
      </c>
      <c r="AE38" s="613" t="str">
        <f t="shared" si="23"/>
        <v/>
      </c>
      <c r="AF38" s="616"/>
      <c r="AG38" s="151"/>
      <c r="AH38" s="616"/>
      <c r="AI38" s="151"/>
      <c r="AJ38" s="616"/>
      <c r="AK38" s="151"/>
      <c r="AL38" s="616"/>
      <c r="AM38" s="151"/>
      <c r="AN38" s="616"/>
      <c r="AO38" s="151"/>
      <c r="AQ38" s="620"/>
      <c r="AR38" s="31" t="str">
        <f t="shared" si="24"/>
        <v/>
      </c>
      <c r="AS38" s="613" t="str">
        <f t="shared" si="25"/>
        <v/>
      </c>
      <c r="AT38" s="616"/>
      <c r="AU38" s="151"/>
      <c r="AV38" s="616"/>
      <c r="AW38" s="151"/>
      <c r="AX38" s="616"/>
      <c r="AY38" s="151"/>
      <c r="AZ38" s="616"/>
      <c r="BA38" s="151"/>
      <c r="BB38" s="616"/>
      <c r="BC38" s="151"/>
      <c r="BE38" s="620"/>
      <c r="BF38" s="31" t="str">
        <f t="shared" si="26"/>
        <v/>
      </c>
      <c r="BG38" s="613" t="str">
        <f t="shared" si="27"/>
        <v/>
      </c>
      <c r="BH38" s="625"/>
      <c r="BI38" s="151"/>
      <c r="BJ38" s="625"/>
      <c r="BK38" s="151"/>
      <c r="BL38" s="625"/>
      <c r="BM38" s="151"/>
      <c r="BN38" s="625"/>
      <c r="BO38" s="151"/>
      <c r="BP38" s="625"/>
      <c r="BQ38" s="151"/>
      <c r="BS38" s="620"/>
      <c r="BT38" s="31" t="str">
        <f t="shared" si="28"/>
        <v/>
      </c>
      <c r="BU38" s="613" t="str">
        <f t="shared" si="29"/>
        <v/>
      </c>
      <c r="BV38" s="625"/>
      <c r="BW38" s="151"/>
      <c r="BX38" s="625"/>
      <c r="BY38" s="151"/>
      <c r="BZ38" s="625"/>
      <c r="CA38" s="151"/>
      <c r="CB38" s="625"/>
      <c r="CC38" s="151"/>
      <c r="CD38" s="625"/>
      <c r="CE38" s="151"/>
    </row>
    <row r="39" spans="1:83" ht="33" customHeight="1">
      <c r="A39" s="611"/>
      <c r="B39" s="31" t="str">
        <f t="shared" si="18"/>
        <v/>
      </c>
      <c r="C39" s="613" t="str">
        <f t="shared" si="19"/>
        <v/>
      </c>
      <c r="D39" s="616"/>
      <c r="E39" s="217"/>
      <c r="F39" s="616"/>
      <c r="G39" s="217"/>
      <c r="H39" s="616"/>
      <c r="I39" s="217"/>
      <c r="J39" s="616"/>
      <c r="K39" s="217"/>
      <c r="L39" s="616"/>
      <c r="M39" s="217"/>
      <c r="O39" s="611"/>
      <c r="P39" s="31" t="str">
        <f t="shared" si="20"/>
        <v/>
      </c>
      <c r="Q39" s="613" t="str">
        <f t="shared" si="21"/>
        <v/>
      </c>
      <c r="R39" s="616"/>
      <c r="S39" s="217"/>
      <c r="T39" s="616"/>
      <c r="U39" s="217"/>
      <c r="V39" s="616"/>
      <c r="W39" s="217"/>
      <c r="X39" s="616"/>
      <c r="Y39" s="217"/>
      <c r="Z39" s="616"/>
      <c r="AA39" s="217"/>
      <c r="AC39" s="611"/>
      <c r="AD39" s="31" t="str">
        <f t="shared" si="22"/>
        <v/>
      </c>
      <c r="AE39" s="613" t="str">
        <f t="shared" si="23"/>
        <v/>
      </c>
      <c r="AF39" s="616"/>
      <c r="AG39" s="217"/>
      <c r="AH39" s="616"/>
      <c r="AI39" s="217"/>
      <c r="AJ39" s="616"/>
      <c r="AK39" s="217"/>
      <c r="AL39" s="616"/>
      <c r="AM39" s="217"/>
      <c r="AN39" s="616"/>
      <c r="AO39" s="217"/>
      <c r="AQ39" s="611"/>
      <c r="AR39" s="31" t="str">
        <f t="shared" si="24"/>
        <v/>
      </c>
      <c r="AS39" s="613" t="str">
        <f t="shared" si="25"/>
        <v/>
      </c>
      <c r="AT39" s="616"/>
      <c r="AU39" s="217"/>
      <c r="AV39" s="616"/>
      <c r="AW39" s="217"/>
      <c r="AX39" s="616"/>
      <c r="AY39" s="217"/>
      <c r="AZ39" s="616"/>
      <c r="BA39" s="217"/>
      <c r="BB39" s="616"/>
      <c r="BC39" s="217"/>
      <c r="BE39" s="611"/>
      <c r="BF39" s="31" t="str">
        <f t="shared" si="26"/>
        <v/>
      </c>
      <c r="BG39" s="613" t="str">
        <f t="shared" si="27"/>
        <v/>
      </c>
      <c r="BH39" s="625"/>
      <c r="BI39" s="217"/>
      <c r="BJ39" s="625"/>
      <c r="BK39" s="217"/>
      <c r="BL39" s="625"/>
      <c r="BM39" s="217"/>
      <c r="BN39" s="625"/>
      <c r="BO39" s="217"/>
      <c r="BP39" s="625"/>
      <c r="BQ39" s="217"/>
      <c r="BS39" s="611"/>
      <c r="BT39" s="31" t="str">
        <f t="shared" si="28"/>
        <v/>
      </c>
      <c r="BU39" s="613" t="str">
        <f t="shared" si="29"/>
        <v/>
      </c>
      <c r="BV39" s="625"/>
      <c r="BW39" s="217"/>
      <c r="BX39" s="625"/>
      <c r="BY39" s="217"/>
      <c r="BZ39" s="625"/>
      <c r="CA39" s="217"/>
      <c r="CB39" s="625"/>
      <c r="CC39" s="217"/>
      <c r="CD39" s="625"/>
      <c r="CE39" s="217"/>
    </row>
    <row r="40" spans="1:83" ht="33" customHeight="1">
      <c r="A40" s="611"/>
      <c r="B40" s="31" t="str">
        <f t="shared" si="18"/>
        <v/>
      </c>
      <c r="C40" s="613" t="str">
        <f t="shared" si="19"/>
        <v/>
      </c>
      <c r="D40" s="616"/>
      <c r="E40" s="151"/>
      <c r="F40" s="616"/>
      <c r="G40" s="151"/>
      <c r="H40" s="616"/>
      <c r="I40" s="151"/>
      <c r="J40" s="616"/>
      <c r="K40" s="151"/>
      <c r="L40" s="616"/>
      <c r="M40" s="151"/>
      <c r="O40" s="611"/>
      <c r="P40" s="31" t="str">
        <f t="shared" si="20"/>
        <v/>
      </c>
      <c r="Q40" s="613" t="str">
        <f t="shared" si="21"/>
        <v/>
      </c>
      <c r="R40" s="616"/>
      <c r="S40" s="151"/>
      <c r="T40" s="616"/>
      <c r="U40" s="151"/>
      <c r="V40" s="616"/>
      <c r="W40" s="151"/>
      <c r="X40" s="616"/>
      <c r="Y40" s="151"/>
      <c r="Z40" s="616"/>
      <c r="AA40" s="151"/>
      <c r="AC40" s="611"/>
      <c r="AD40" s="31" t="str">
        <f t="shared" si="22"/>
        <v/>
      </c>
      <c r="AE40" s="613" t="str">
        <f t="shared" si="23"/>
        <v/>
      </c>
      <c r="AF40" s="616"/>
      <c r="AG40" s="151"/>
      <c r="AH40" s="616"/>
      <c r="AI40" s="151"/>
      <c r="AJ40" s="616"/>
      <c r="AK40" s="151"/>
      <c r="AL40" s="616"/>
      <c r="AM40" s="151"/>
      <c r="AN40" s="616"/>
      <c r="AO40" s="151"/>
      <c r="AQ40" s="620"/>
      <c r="AR40" s="31" t="str">
        <f t="shared" si="24"/>
        <v/>
      </c>
      <c r="AS40" s="613" t="str">
        <f t="shared" si="25"/>
        <v/>
      </c>
      <c r="AT40" s="616"/>
      <c r="AU40" s="151"/>
      <c r="AV40" s="616"/>
      <c r="AW40" s="151"/>
      <c r="AX40" s="616"/>
      <c r="AY40" s="151"/>
      <c r="AZ40" s="616"/>
      <c r="BA40" s="151"/>
      <c r="BB40" s="616"/>
      <c r="BC40" s="151"/>
      <c r="BE40" s="620"/>
      <c r="BF40" s="31" t="str">
        <f t="shared" si="26"/>
        <v/>
      </c>
      <c r="BG40" s="613" t="str">
        <f t="shared" si="27"/>
        <v/>
      </c>
      <c r="BH40" s="625"/>
      <c r="BI40" s="151"/>
      <c r="BJ40" s="625"/>
      <c r="BK40" s="151"/>
      <c r="BL40" s="625"/>
      <c r="BM40" s="151"/>
      <c r="BN40" s="625"/>
      <c r="BO40" s="151"/>
      <c r="BP40" s="625"/>
      <c r="BQ40" s="151"/>
      <c r="BS40" s="620"/>
      <c r="BT40" s="31" t="str">
        <f t="shared" si="28"/>
        <v/>
      </c>
      <c r="BU40" s="613" t="str">
        <f t="shared" si="29"/>
        <v/>
      </c>
      <c r="BV40" s="625"/>
      <c r="BW40" s="151"/>
      <c r="BX40" s="625"/>
      <c r="BY40" s="151"/>
      <c r="BZ40" s="625"/>
      <c r="CA40" s="151"/>
      <c r="CB40" s="625"/>
      <c r="CC40" s="151"/>
      <c r="CD40" s="625"/>
      <c r="CE40" s="151"/>
    </row>
    <row r="41" spans="1:83" ht="33" customHeight="1" thickBot="1">
      <c r="A41" s="611"/>
      <c r="B41" s="31" t="str">
        <f t="shared" ref="B41" si="30">IF(A41&gt;0,C40,"")</f>
        <v/>
      </c>
      <c r="C41" s="613" t="str">
        <f t="shared" ref="C41" si="31">IF(A41&gt;0,B41+A41,"")</f>
        <v/>
      </c>
      <c r="D41" s="617"/>
      <c r="E41" s="218"/>
      <c r="F41" s="617"/>
      <c r="G41" s="218"/>
      <c r="H41" s="617"/>
      <c r="I41" s="218"/>
      <c r="J41" s="617"/>
      <c r="K41" s="218"/>
      <c r="L41" s="617"/>
      <c r="M41" s="218"/>
      <c r="O41" s="611"/>
      <c r="P41" s="31" t="str">
        <f t="shared" ref="P41" si="32">IF(O41&gt;0,Q40,"")</f>
        <v/>
      </c>
      <c r="Q41" s="613" t="str">
        <f t="shared" ref="Q41" si="33">IF(O41&gt;0,P41+O41,"")</f>
        <v/>
      </c>
      <c r="R41" s="617"/>
      <c r="S41" s="218"/>
      <c r="T41" s="617"/>
      <c r="U41" s="218"/>
      <c r="V41" s="617"/>
      <c r="W41" s="218"/>
      <c r="X41" s="617"/>
      <c r="Y41" s="218"/>
      <c r="Z41" s="617"/>
      <c r="AA41" s="218"/>
      <c r="AC41" s="611"/>
      <c r="AD41" s="31" t="str">
        <f t="shared" ref="AD41" si="34">IF(AC41&gt;0,AE40,"")</f>
        <v/>
      </c>
      <c r="AE41" s="613" t="str">
        <f t="shared" ref="AE41" si="35">IF(AC41&gt;0,AD41+AC41,"")</f>
        <v/>
      </c>
      <c r="AF41" s="617"/>
      <c r="AG41" s="218"/>
      <c r="AH41" s="617"/>
      <c r="AI41" s="218"/>
      <c r="AJ41" s="617"/>
      <c r="AK41" s="218"/>
      <c r="AL41" s="617"/>
      <c r="AM41" s="218"/>
      <c r="AN41" s="617"/>
      <c r="AO41" s="218"/>
      <c r="AQ41" s="611"/>
      <c r="AR41" s="31" t="str">
        <f t="shared" ref="AR41" si="36">IF(AQ41&gt;0,AS40,"")</f>
        <v/>
      </c>
      <c r="AS41" s="613" t="str">
        <f t="shared" ref="AS41" si="37">IF(AQ41&gt;0,AR41+AQ41,"")</f>
        <v/>
      </c>
      <c r="AT41" s="617"/>
      <c r="AU41" s="218"/>
      <c r="AV41" s="617"/>
      <c r="AW41" s="218"/>
      <c r="AX41" s="617"/>
      <c r="AY41" s="218"/>
      <c r="AZ41" s="617"/>
      <c r="BA41" s="218"/>
      <c r="BB41" s="617"/>
      <c r="BC41" s="218"/>
      <c r="BE41" s="611"/>
      <c r="BF41" s="31" t="str">
        <f t="shared" ref="BF41" si="38">IF(BE41&gt;0,BG40,"")</f>
        <v/>
      </c>
      <c r="BG41" s="613" t="str">
        <f t="shared" ref="BG41" si="39">IF(BE41&gt;0,BF41+BE41,"")</f>
        <v/>
      </c>
      <c r="BH41" s="661"/>
      <c r="BI41" s="218"/>
      <c r="BJ41" s="661"/>
      <c r="BK41" s="218"/>
      <c r="BL41" s="661"/>
      <c r="BM41" s="218"/>
      <c r="BN41" s="661"/>
      <c r="BO41" s="218"/>
      <c r="BP41" s="661"/>
      <c r="BQ41" s="218"/>
      <c r="BS41" s="611"/>
      <c r="BT41" s="31" t="str">
        <f t="shared" ref="BT41" si="40">IF(BS41&gt;0,BU40,"")</f>
        <v/>
      </c>
      <c r="BU41" s="613" t="str">
        <f t="shared" ref="BU41" si="41">IF(BS41&gt;0,BT41+BS41,"")</f>
        <v/>
      </c>
      <c r="BV41" s="661"/>
      <c r="BW41" s="218"/>
      <c r="BX41" s="661"/>
      <c r="BY41" s="218"/>
      <c r="BZ41" s="661"/>
      <c r="CA41" s="218"/>
      <c r="CB41" s="661"/>
      <c r="CC41" s="218"/>
      <c r="CD41" s="661"/>
      <c r="CE41" s="218"/>
    </row>
    <row r="42" spans="1:83" ht="33" hidden="1" customHeight="1">
      <c r="A42" s="605" t="s">
        <v>226</v>
      </c>
      <c r="B42" s="606"/>
      <c r="C42" s="606"/>
      <c r="D42" s="599"/>
      <c r="E42" s="610">
        <f>IF(AND(D14="K",E14&gt;0),$A$14,0)+IF(AND(D15="K",E15&gt;0),$A$15,0)+IF(AND(D16="K",E16&gt;0),$A$16,0)+IF(AND(D17="K",E17&gt;0),$A$17,0)+IF(AND(D18="K",E18&gt;0),$A$18,0)+IF(AND(D19="K",E19&gt;0),$A$19,0)+IF(AND(D20="K",E20&gt;0),$A$20,0)+IF(AND(D21="K",E21&gt;0),$A$21,0)+IF(AND(D22="K",E22&gt;0),$A$22,0)+IF(AND(D23="K",E23&gt;0),$A$23,0)+IF(AND(D24="K",E24&gt;0),$A$24,0)+IF(AND(D25="K",E25&gt;0),$A$25,0)+IF(AND(D26="K",E26&gt;0),$A$26,0)+IF(AND(D27="K",E27&gt;0),$A$27,0)+IF(AND(D28="K",E28&gt;0),$A$28,0)+IF(AND(D29="K",E29&gt;0),$A$29,0)+IF(AND(D30="K",E30&gt;0),$A$30,0)+IF(AND(D31="K",E31&gt;0),$A$31,0)+IF(AND(D32="K",E32&gt;0),$A$32,0)+IF(AND(D33="K",E33&gt;0),$A$33,0)+IF(AND(D34="K",E34&gt;0),$A$34,0)+IF(AND(D35="K",E35&gt;0),$A$38,0)+IF(AND(D36="K",E36&gt;0),$A$36,0)+IF(AND(D37="K",E37&gt;0),$A$37,0)+IF(AND(D38="K",E38&gt;0),$A$38,0)+IF(AND(D39="K",E39&gt;0),$A$39,0)+IF(AND(D40="K",E40&gt;0),$A$40,0)+IF(AND(D41="K",E41&gt;0),$A$41,0)</f>
        <v>0</v>
      </c>
      <c r="F42" s="610">
        <f t="shared" ref="F42:L42" si="42">IF(AND(E14="K",F14&gt;0),$A$14,0)+IF(AND(E15="K",F15&gt;0),$A$15,0)+IF(AND(E16="K",F16&gt;0),$A$16,0)+IF(AND(E17="K",F17&gt;0),$A$17,0)+IF(AND(E18="K",F18&gt;0),$A$18,0)+IF(AND(E19="K",F19&gt;0),$A$19,0)+IF(AND(E20="K",F20&gt;0),$A$20,0)+IF(AND(E21="K",F21&gt;0),$A$21,0)+IF(AND(E22="K",F22&gt;0),$A$22,0)+IF(AND(E23="K",F23&gt;0),$A$23,0)+IF(AND(E24="K",F24&gt;0),$A$24,0)+IF(AND(E25="K",F25&gt;0),$A$25,0)+IF(AND(E26="K",F26&gt;0),$A$26,0)+IF(AND(E27="K",F27&gt;0),$A$27,0)+IF(AND(E28="K",F28&gt;0),$A$28,0)+IF(AND(E29="K",F29&gt;0),$A$29,0)+IF(AND(E30="K",F30&gt;0),$A$30,0)+IF(AND(E31="K",F31&gt;0),$A$31,0)+IF(AND(E32="K",F32&gt;0),$A$32,0)+IF(AND(E33="K",F33&gt;0),$A$33,0)+IF(AND(E34="K",F34&gt;0),$A$34,0)+IF(AND(E35="K",F35&gt;0),$A$38,0)+IF(AND(E36="K",F36&gt;0),$A$36,0)+IF(AND(E37="K",F37&gt;0),$A$37,0)+IF(AND(E38="K",F38&gt;0),$A$38,0)+IF(AND(E39="K",F39&gt;0),$A$39,0)+IF(AND(E40="K",F40&gt;0),$A$40,0)+IF(AND(E41="K",F41&gt;0),$A$41,0)</f>
        <v>0</v>
      </c>
      <c r="G42" s="610">
        <f t="shared" si="42"/>
        <v>0</v>
      </c>
      <c r="H42" s="610">
        <f t="shared" si="42"/>
        <v>0</v>
      </c>
      <c r="I42" s="610">
        <f t="shared" si="42"/>
        <v>0</v>
      </c>
      <c r="J42" s="610">
        <f t="shared" si="42"/>
        <v>0</v>
      </c>
      <c r="K42" s="610">
        <f t="shared" si="42"/>
        <v>0</v>
      </c>
      <c r="L42" s="610">
        <f t="shared" si="42"/>
        <v>0</v>
      </c>
      <c r="M42" s="610">
        <f>IF(AND(L14="K",M14&gt;0),$A$14,0)+IF(AND(L15="K",M15&gt;0),$A$15,0)+IF(AND(L16="K",M16&gt;0),$A$16,0)+IF(AND(L17="K",M17&gt;0),$A$17,0)+IF(AND(L18="K",M18&gt;0),$A$18,0)+IF(AND(L19="K",M19&gt;0),$A$19,0)+IF(AND(L20="K",M20&gt;0),$A$20,0)+IF(AND(L21="K",M21&gt;0),$A$21,0)+IF(AND(L22="K",M22&gt;0),$A$22,0)+IF(AND(L23="K",M23&gt;0),$A$23,0)+IF(AND(L24="K",M24&gt;0),$A$24,0)+IF(AND(L25="K",M25&gt;0),$A$25,0)+IF(AND(L26="K",M26&gt;0),$A$26,0)+IF(AND(L27="K",M27&gt;0),$A$27,0)+IF(AND(L28="K",M28&gt;0),$A$28,0)+IF(AND(L29="K",M29&gt;0),$A$29,0)+IF(AND(L30="K",M30&gt;0),$A$30,0)+IF(AND(L31="K",M31&gt;0),$A$31,0)+IF(AND(L32="K",M32&gt;0),$A$32,0)+IF(AND(L33="K",M33&gt;0),$A$33,0)+IF(AND(L34="K",M34&gt;0),$A$34,0)+IF(AND(L35="K",M35&gt;0),$A$38,0)+IF(AND(L36="K",M36&gt;0),$A$36,0)+IF(AND(L37="K",M37&gt;0),$A$37,0)+IF(AND(L38="K",M38&gt;0),$A$38,0)+IF(AND(L39="K",M39&gt;0),$A$39,0)+IF(AND(L40="K",M40&gt;0),$A$40,0)+IF(AND(L41="K",M41&gt;0),$A$41,0)</f>
        <v>0</v>
      </c>
      <c r="N42" s="606"/>
      <c r="O42" s="605" t="s">
        <v>226</v>
      </c>
      <c r="P42" s="606"/>
      <c r="Q42" s="606"/>
      <c r="R42" s="599"/>
      <c r="S42" s="610">
        <f>IF(AND(R14="K",S14&gt;0),$O$14,0)+IF(AND(R15="K",S15&gt;0),$O$15,0)+IF(AND(R16="K",S16&gt;0),$O$16,0)+IF(AND(R17="K",S17&gt;0),$O$17,0)+IF(AND(R18="K",S18&gt;0),$O$18,0)+IF(AND(R19="K",S19&gt;0),$O$19,0)+IF(AND(R20="K",S20&gt;0),$O$20,0)+IF(AND(R21="K",S21&gt;0),$O$21,0)+IF(AND(R22="K",S22&gt;0),$O$22,0)+IF(AND(R23="K",S23&gt;0),$O$23,0)+IF(AND(R24="K",S24&gt;0),$O$24,0)+IF(AND(R25="K",S25&gt;0),$O$25,0)+IF(AND(R26="K",S26&gt;0),$O$26,0)+IF(AND(R27="K",S27&gt;0),$O$27,0)+IF(AND(R28="K",S28&gt;0),$O$28,0)+IF(AND(R29="K",S29&gt;0),$O$29,0)+IF(AND(R30="K",S30&gt;0),$O$30,0)+IF(AND(R31="K",S31&gt;0),$O$31,0)+IF(AND(R32="K",S32&gt;0),$O$32,0)+IF(AND(R33="K",S33&gt;0),$O$33,0)+IF(AND(R34="K",S34&gt;0),$O$34,0)+IF(AND(R35="K",S35&gt;0),$O$35,0)+IF(AND(R36="K",S36&gt;0),$O$36,0)+IF(AND(R37="K",S37&gt;0),$O$37,0)+IF(AND(R38="K",S38&gt;0),$O$38,0)+IF(AND(R39="K",S39&gt;0),$O$39,0)+IF(AND(R40="K",S40&gt;0),$O$40,0)+IF(AND(R41="K",S41&gt;0),$O$41,0)</f>
        <v>0</v>
      </c>
      <c r="T42" s="610">
        <f t="shared" ref="T42:Z42" si="43">IF(AND(S14="K",T14&gt;0),$O$14,0)+IF(AND(S15="K",T15&gt;0),$O$15,0)+IF(AND(S16="K",T16&gt;0),$O$16,0)+IF(AND(S17="K",T17&gt;0),$O$17,0)+IF(AND(S18="K",T18&gt;0),$O$18,0)+IF(AND(S19="K",T19&gt;0),$O$19,0)+IF(AND(S20="K",T20&gt;0),$O$20,0)+IF(AND(S21="K",T21&gt;0),$O$21,0)+IF(AND(S22="K",T22&gt;0),$O$22,0)+IF(AND(S23="K",T23&gt;0),$O$23,0)+IF(AND(S24="K",T24&gt;0),$O$24,0)+IF(AND(S25="K",T25&gt;0),$O$25,0)+IF(AND(S26="K",T26&gt;0),$O$26,0)+IF(AND(S27="K",T27&gt;0),$O$27,0)+IF(AND(S28="K",T28&gt;0),$O$28,0)+IF(AND(S29="K",T29&gt;0),$O$29,0)+IF(AND(S30="K",T30&gt;0),$O$30,0)+IF(AND(S31="K",T31&gt;0),$O$31,0)+IF(AND(S32="K",T32&gt;0),$O$32,0)+IF(AND(S33="K",T33&gt;0),$O$33,0)+IF(AND(S34="K",T34&gt;0),$O$34,0)+IF(AND(S35="K",T35&gt;0),$O$35,0)+IF(AND(S36="K",T36&gt;0),$O$36,0)+IF(AND(S37="K",T37&gt;0),$O$37,0)+IF(AND(S38="K",T38&gt;0),$O$38,0)+IF(AND(S39="K",T39&gt;0),$O$39,0)+IF(AND(S40="K",T40&gt;0),$O$40,0)+IF(AND(S41="K",T41&gt;0),$O$41,0)</f>
        <v>0</v>
      </c>
      <c r="U42" s="610">
        <f t="shared" si="43"/>
        <v>0</v>
      </c>
      <c r="V42" s="610">
        <f t="shared" si="43"/>
        <v>0</v>
      </c>
      <c r="W42" s="610">
        <f t="shared" si="43"/>
        <v>0</v>
      </c>
      <c r="X42" s="610">
        <f t="shared" si="43"/>
        <v>0</v>
      </c>
      <c r="Y42" s="610">
        <f t="shared" si="43"/>
        <v>0</v>
      </c>
      <c r="Z42" s="610">
        <f t="shared" si="43"/>
        <v>0</v>
      </c>
      <c r="AA42" s="610">
        <f>IF(AND(Z14="K",AA14&gt;0),$O$14,0)+IF(AND(Z15="K",AA15&gt;0),$O$15,0)+IF(AND(Z16="K",AA16&gt;0),$O$16,0)+IF(AND(Z17="K",AA17&gt;0),$O$17,0)+IF(AND(Z18="K",AA18&gt;0),$O$18,0)+IF(AND(Z19="K",AA19&gt;0),$O$19,0)+IF(AND(Z20="K",AA20&gt;0),$O$20,0)+IF(AND(Z21="K",AA21&gt;0),$O$21,0)+IF(AND(Z22="K",AA22&gt;0),$O$22,0)+IF(AND(Z23="K",AA23&gt;0),$O$23,0)+IF(AND(Z24="K",AA24&gt;0),$O$24,0)+IF(AND(Z25="K",AA25&gt;0),$O$25,0)+IF(AND(Z26="K",AA26&gt;0),$O$26,0)+IF(AND(Z27="K",AA27&gt;0),$O$27,0)+IF(AND(Z28="K",AA28&gt;0),$O$28,0)+IF(AND(Z29="K",AA29&gt;0),$O$29,0)+IF(AND(Z30="K",AA30&gt;0),$O$30,0)+IF(AND(Z31="K",AA31&gt;0),$O$31,0)+IF(AND(Z32="K",AA32&gt;0),$O$32,0)+IF(AND(Z33="K",AA33&gt;0),$O$33,0)+IF(AND(Z34="K",AA34&gt;0),$O$34,0)+IF(AND(Z35="K",AA35&gt;0),$O$35,0)+IF(AND(Z36="K",AA36&gt;0),$O$36,0)+IF(AND(Z37="K",AA37&gt;0),$O$37,0)+IF(AND(Z38="K",AA38&gt;0),$O$38,0)+IF(AND(Z39="K",AA39&gt;0),$O$39,0)+IF(AND(Z40="K",AA40&gt;0),$O$40,0)+IF(AND(Z41="K",AA41&gt;0),$O$41,0)</f>
        <v>0</v>
      </c>
      <c r="AC42" s="605" t="s">
        <v>226</v>
      </c>
      <c r="AD42" s="606"/>
      <c r="AE42" s="606"/>
      <c r="AF42" s="599"/>
      <c r="AG42" s="610">
        <f>IF(AND(AF14="K",AG14&gt;0),$AC$14,0)+IF(AND(AF15="K",AG15&gt;0),$AC$15,0)+IF(AND(AF16="K",AG16&gt;0),$AC$16,0)+IF(AND(AF17="K",AG17&gt;0),$AC$17,0)+IF(AND(AF18="K",AG18&gt;0),$AC$18,0)+IF(AND(AF19="K",AG19&gt;0),$AC$19,0)+IF(AND(AF20="K",AG20&gt;0),$AC$20,0)+IF(AND(AF21="K",AG21&gt;0),$AC$21,0)+IF(AND(AF22="K",AG22&gt;0),$AC$22,0)+IF(AND(AF23="K",AG23&gt;0),$AC$23,0)+IF(AND(AF24="K",AG24&gt;0),$AC$24,0)+IF(AND(AF25="K",AG25&gt;0),$AC$25,0)+IF(AND(AF26="K",AG26&gt;0),$AC$26,0)+IF(AND(AF27="K",AG27&gt;0),$AC$27,0)+IF(AND(AF28="K",AG28&gt;0),$AC$28,0)+IF(AND(AF29="K",AG29&gt;0),$AC$29,0)+IF(AND(AF30="K",AG30&gt;0),$AC$30,0)+IF(AND(AF31="K",AG31&gt;0),$AC$31,0)+IF(AND(AF32="K",AG32&gt;0),$AC$32,0)+IF(AND(AF33="K",AG33&gt;0),$AC$33,0)+IF(AND(AF34="K",AG34&gt;0),$AC$34,0)+IF(AND(AF35="K",AG35&gt;0),$AC$35,0)+IF(AND(AF36="K",AG36&gt;0),$AC$36,0)+IF(AND(AF37="K",AG37&gt;0),$AC$37,0)+IF(AND(AF38="K",AG38&gt;0),$AC$38,0)+IF(AND(AF39="K",AG39&gt;0),$AC$39,0)+IF(AND(AF40="K",AG40&gt;0),$AC$40,0)+IF(AND(AF41="K",AG41&gt;0),$AC$41,0)</f>
        <v>0</v>
      </c>
      <c r="AH42" s="610">
        <f t="shared" ref="AH42:AN42" si="44">IF(AND(AG14="K",AH14&gt;0),$AC$14,0)+IF(AND(AG15="K",AH15&gt;0),$AC$15,0)+IF(AND(AG16="K",AH16&gt;0),$AC$16,0)+IF(AND(AG17="K",AH17&gt;0),$AC$17,0)+IF(AND(AG18="K",AH18&gt;0),$AC$18,0)+IF(AND(AG19="K",AH19&gt;0),$AC$19,0)+IF(AND(AG20="K",AH20&gt;0),$AC$20,0)+IF(AND(AG21="K",AH21&gt;0),$AC$21,0)+IF(AND(AG22="K",AH22&gt;0),$AC$22,0)+IF(AND(AG23="K",AH23&gt;0),$AC$23,0)+IF(AND(AG24="K",AH24&gt;0),$AC$24,0)+IF(AND(AG25="K",AH25&gt;0),$AC$25,0)+IF(AND(AG26="K",AH26&gt;0),$AC$26,0)+IF(AND(AG27="K",AH27&gt;0),$AC$27,0)+IF(AND(AG28="K",AH28&gt;0),$AC$28,0)+IF(AND(AG29="K",AH29&gt;0),$AC$29,0)+IF(AND(AG30="K",AH30&gt;0),$AC$30,0)+IF(AND(AG31="K",AH31&gt;0),$AC$31,0)+IF(AND(AG32="K",AH32&gt;0),$AC$32,0)+IF(AND(AG33="K",AH33&gt;0),$AC$33,0)+IF(AND(AG34="K",AH34&gt;0),$AC$34,0)+IF(AND(AG35="K",AH35&gt;0),$AC$35,0)+IF(AND(AG36="K",AH36&gt;0),$AC$36,0)+IF(AND(AG37="K",AH37&gt;0),$AC$37,0)+IF(AND(AG38="K",AH38&gt;0),$AC$38,0)+IF(AND(AG39="K",AH39&gt;0),$AC$39,0)+IF(AND(AG40="K",AH40&gt;0),$AC$40,0)+IF(AND(AG41="K",AH41&gt;0),$AC$41,0)</f>
        <v>0</v>
      </c>
      <c r="AI42" s="610">
        <f t="shared" si="44"/>
        <v>0</v>
      </c>
      <c r="AJ42" s="610">
        <f t="shared" si="44"/>
        <v>0</v>
      </c>
      <c r="AK42" s="610">
        <f t="shared" si="44"/>
        <v>0</v>
      </c>
      <c r="AL42" s="610">
        <f t="shared" si="44"/>
        <v>0</v>
      </c>
      <c r="AM42" s="610">
        <f>IF(AND(AL14="K",AM14&gt;0),$AC$14,0)+IF(AND(AL15="K",AM15&gt;0),$AC$15,0)+IF(AND(AL16="K",AM16&gt;0),$AC$16,0)+IF(AND(AL17="K",AM17&gt;0),$AC$17,0)+IF(AND(AL18="K",AM18&gt;0),$AC$18,0)+IF(AND(AL19="K",AM19&gt;0),$AC$19,0)+IF(AND(AL20="K",AM20&gt;0),$AC$20,0)+IF(AND(AL21="K",AM21&gt;0),$AC$21,0)+IF(AND(AL22="K",AM22&gt;0),$AC$22,0)+IF(AND(AL23="K",AM23&gt;0),$AC$23,0)+IF(AND(AL24="K",AM24&gt;0),$AC$24,0)+IF(AND(AL25="K",AM25&gt;0),$AC$25,0)+IF(AND(AL26="K",AM26&gt;0),$AC$26,0)+IF(AND(AL27="K",AM27&gt;0),$AC$27,0)+IF(AND(AL28="K",AM28&gt;0),$AC$28,0)+IF(AND(AL29="K",AM29&gt;0),$AC$29,0)+IF(AND(AL30="K",AM30&gt;0),$AC$30,0)+IF(AND(AL31="K",AM31&gt;0),$AC$31,0)+IF(AND(AL32="K",AM32&gt;0),$AC$32,0)+IF(AND(AL33="K",AM33&gt;0),$AC$33,0)+IF(AND(AL34="K",AM34&gt;0),$AC$34,0)+IF(AND(AL35="K",AM35&gt;0),$AC$35,0)+IF(AND(AL36="K",AM36&gt;0),$AC$36,0)+IF(AND(AL37="K",AM37&gt;0),$AC$37,0)+IF(AND(AL38="K",AM38&gt;0),$AC$38,0)+IF(AND(AL39="K",AM39&gt;0),$AC$39,0)+IF(AND(AL40="K",AM40&gt;0),$AC$40,0)+IF(AND(AL41="K",AM41&gt;0),$AC$41,0)</f>
        <v>0</v>
      </c>
      <c r="AN42" s="610">
        <f t="shared" si="44"/>
        <v>0</v>
      </c>
      <c r="AO42" s="610">
        <f>IF(AND(AN14="K",AO14&gt;0),$AC$14,0)+IF(AND(AN15="K",AO15&gt;0),$AC$15,0)+IF(AND(AN16="K",AO16&gt;0),$AC$16,0)+IF(AND(AN17="K",AO17&gt;0),$AC$17,0)+IF(AND(AN18="K",AO18&gt;0),$AC$18,0)+IF(AND(AN19="K",AO19&gt;0),$AC$19,0)+IF(AND(AN20="K",AO20&gt;0),$AC$20,0)+IF(AND(AN21="K",AO21&gt;0),$AC$21,0)+IF(AND(AN22="K",AO22&gt;0),$AC$22,0)+IF(AND(AN23="K",AO23&gt;0),$AC$23,0)+IF(AND(AN24="K",AO24&gt;0),$AC$24,0)+IF(AND(AN25="K",AO25&gt;0),$AC$25,0)+IF(AND(AN26="K",AO26&gt;0),$AC$26,0)+IF(AND(AN27="K",AO27&gt;0),$AC$27,0)+IF(AND(AN28="K",AO28&gt;0),$AC$28,0)+IF(AND(AN29="K",AO29&gt;0),$AC$29,0)+IF(AND(AN30="K",AO30&gt;0),$AC$30,0)+IF(AND(AN31="K",AO31&gt;0),$AC$31,0)+IF(AND(AN32="K",AO32&gt;0),$AC$32,0)+IF(AND(AN33="K",AO33&gt;0),$AC$33,0)+IF(AND(AN34="K",AO34&gt;0),$AC$34,0)+IF(AND(AN35="K",AO35&gt;0),$AC$35,0)+IF(AND(AN36="K",AO36&gt;0),$AC$36,0)+IF(AND(AN37="K",AO37&gt;0),$AC$37,0)+IF(AND(AN38="K",AO38&gt;0),$AC$38,0)+IF(AND(AN39="K",AO39&gt;0),$AC$39,0)+IF(AND(AN40="K",AO40&gt;0),$AC$40,0)+IF(AND(AN41="K",AO41&gt;0),$AC$41,0)</f>
        <v>0</v>
      </c>
      <c r="AQ42" s="605" t="s">
        <v>226</v>
      </c>
      <c r="AR42" s="606"/>
      <c r="AS42" s="606"/>
      <c r="AT42" s="599"/>
      <c r="AU42" s="610">
        <f>IF(AND(AT14="K",AU14&gt;0),AQ14,0)+IF(AND(AT15="K",AU15&gt;0),AQ15,0)+IF(AND(AT16="K",AU16&gt;0),AQ16,0)+IF(AND(AT17="K",AU17&gt;0),AQ17,0)+IF(AND(AT18="K",AU18&gt;0),AQ18,0)+IF(AND(AT19="K",AU19&gt;0),AQ19,0)+IF(AND(AT20="K",AU20&gt;0),AQ20,0)+IF(AND(AT21="K",AU21&gt;0),AQ21,0)+IF(AND(AT22="K",AU22&gt;0),AQ22,0)+IF(AND(AT23="K",AU23&gt;0),AQ23,0)+IF(AND(AT24="K",AU24&gt;0),AQ24,0)+IF(AND(AT25="K",AU25&gt;0),AQ25,0)+IF(AND(AT26="K",AU26&gt;0),AQ26,0)+IF(AND(AT27="K",AU27&gt;0),AQ27,0)+IF(AND(AT28="K",AU28&gt;0),AQ28,0)+IF(AND(AT29="K",AU29&gt;0),AQ29,0)+IF(AND(AT30="K",AU30&gt;0),AQ30,0)+IF(AND(AT31="K",AU31&gt;0),AQ31,0)+IF(AND(AT32="K",AU32&gt;0),AQ32,0)+IF(AND(AT33="K",AU33&gt;0),AQ33,0)+IF(AND(AT34="K",AU34&gt;0),AQ34,0)+IF(AND(AT35="K",AU35&gt;0),AQ35,0)+IF(AND(AT36="K",AU36&gt;0),AQ36,0)+IF(AND(AT37="K",AU37&gt;0),AQ37,0)+IF(AND(AT38="K",AU38&gt;0),AQ38,0)+IF(AND(AT39="K",AU39&gt;0),AQ39,0)+IF(AND(AT40="K",AU40&gt;0),AQ40,0)+IF(AND(AT41="K",AU41&gt;0),AQ41,0)</f>
        <v>0</v>
      </c>
      <c r="AV42" s="610">
        <f t="shared" ref="AV42:BC42" si="45">IF(AND(AU14="K",AV14&gt;0),$AQ$14,0)+IF(AND(AU15="K",AV15&gt;0),$AQ$15,0)+IF(AND(AU16="K",AV16&gt;0),$AQ$16,0)+IF(AND(AU17="K",AV17&gt;0),$AQ$17,0)+IF(AND(AU18="K",AV18&gt;0),$AQ$18,0)+IF(AND(AU19="K",AV19&gt;0),$AQ$19,0)+IF(AND(AU20="K",AV20&gt;0),$AQ$20,0)+IF(AND(AU21="K",AV21&gt;0),$AQ$21,0)+IF(AND(AU22="K",AV22&gt;0),$AQ$22,0)+IF(AND(AU23="K",AV23&gt;0),$AQ$23,0)+IF(AND(AU24="K",AV24&gt;0),$AQ$24,0)+IF(AND(AU25="K",AV25&gt;0),$AQ$25,0)+IF(AND(AU26="K",AV26&gt;0),$AQ$26,0)+IF(AND(AU27="K",AV27&gt;0),$AQ$27,0)+IF(AND(AU28="K",AV28&gt;0),$AQ$28,0)+IF(AND(AU29="K",AV29&gt;0),$AQ$29,0)+IF(AND(AU30="K",AV30&gt;0),$AQ$30,0)+IF(AND(AU31="K",AV31&gt;0),$AQ$31,0)+IF(AND(AU32="K",AV32&gt;0),$AQ$32,0)+IF(AND(AU33="K",AV33&gt;0),$AQ$33,0)+IF(AND(AU34="K",AV34&gt;0),$AQ$34,0)+IF(AND(AU35="K",AV35&gt;0),$AQ$35,0)+IF(AND(AU36="K",AV36&gt;0),$AQ$36,0)+IF(AND(AU37="K",AV37&gt;0),$AQ$37,0)+IF(AND(AU38="K",AV38&gt;0),$AQ$38,0)+IF(AND(AU39="K",AV39&gt;0),$AQ$39,0)+IF(AND(AU40="K",AV40&gt;0),$AQ$40,0)+IF(AND(AU41="K",AV41&gt;0),$AQ$41,0)</f>
        <v>0</v>
      </c>
      <c r="AW42" s="610">
        <f t="shared" si="45"/>
        <v>0</v>
      </c>
      <c r="AX42" s="610">
        <f t="shared" si="45"/>
        <v>0</v>
      </c>
      <c r="AY42" s="610">
        <f t="shared" si="45"/>
        <v>0</v>
      </c>
      <c r="AZ42" s="610">
        <f t="shared" si="45"/>
        <v>0</v>
      </c>
      <c r="BA42" s="610">
        <f t="shared" si="45"/>
        <v>0</v>
      </c>
      <c r="BB42" s="610">
        <f t="shared" si="45"/>
        <v>0</v>
      </c>
      <c r="BC42" s="610">
        <f t="shared" si="45"/>
        <v>0</v>
      </c>
      <c r="BE42" s="605" t="s">
        <v>226</v>
      </c>
      <c r="BF42" s="606"/>
      <c r="BG42" s="606"/>
      <c r="BH42" s="599"/>
      <c r="BI42" s="610">
        <f>IF(AND(BH14="K",BI14&gt;0),$BE$14,0)+IF(AND(BH15="K",BI15&gt;0),$BE$15,0)+IF(AND(BH16="K",BI16&gt;0),$BE$16,0)+IF(AND(BH17="K",BI17&gt;0),$BE$17,0)+IF(AND(BH18="K",BI18&gt;0),$BE$18,0)+IF(AND(BH19="K",BI19&gt;0),$BE$19,0)+IF(AND(BH20="K",BI20&gt;0),$BE$20,0)+IF(AND(BH21="K",BI21&gt;0),$BE$21,0)+IF(AND(BH22="K",BI22&gt;0),$BE$22,0)+IF(AND(BH23="K",BI23&gt;0),$BE$23,0)+IF(AND(BH24="K",BI24&gt;0),$BE$24,0)+IF(AND(BH25="K",BI25&gt;0),$BE$25,0)+IF(AND(BH26="K",BI26&gt;0),$BE$26,0)+IF(AND(BH27="K",BI27&gt;0),$BE$27,0)+IF(AND(BH28="K",BI28&gt;0),$BE$28,0)+IF(AND(BH29="K",BI29&gt;0),$BE$29,0)+IF(AND(BH30="K",BI30&gt;0),$BE$30,0)+IF(AND(BH31="K",BI31&gt;0),$BE$31,0)+IF(AND(BH32="K",BI32&gt;0),$BE$32,0)+IF(AND(BH33="K",BI33&gt;0),$BE$33,0)+IF(AND(BH34="K",BI34&gt;0),$BE$34,0)+IF(AND(BH35="K",BI35&gt;0),$BE$35,0)+IF(AND(BH36="K",BI36&gt;0),$BE$36,0)+IF(AND(BH37="K",BI37&gt;0),$BE$37,0)+IF(AND(BH38="K",BI38&gt;0),$BE$38,0)+IF(AND(BH39="K",BI39&gt;0),$BE$39,0)+IF(AND(BH40="K",BI40&gt;0),$BE$40,0)+IF(AND(BH41="K",BI41&gt;0),$BE$41,0)</f>
        <v>0</v>
      </c>
      <c r="BJ42" s="610">
        <f t="shared" ref="BJ42:BQ42" si="46">IF(AND(BI14="K",BJ14&gt;0),$BE$14,0)+IF(AND(BI15="K",BJ15&gt;0),$BE$15,0)+IF(AND(BI16="K",BJ16&gt;0),$BE$16,0)+IF(AND(BI17="K",BJ17&gt;0),$BE$17,0)+IF(AND(BI18="K",BJ18&gt;0),$BE$18,0)+IF(AND(BI19="K",BJ19&gt;0),$BE$19,0)+IF(AND(BI20="K",BJ20&gt;0),$BE$20,0)+IF(AND(BI21="K",BJ21&gt;0),$BE$21,0)+IF(AND(BI22="K",BJ22&gt;0),$BE$22,0)+IF(AND(BI23="K",BJ23&gt;0),$BE$23,0)+IF(AND(BI24="K",BJ24&gt;0),$BE$24,0)+IF(AND(BI25="K",BJ25&gt;0),$BE$25,0)+IF(AND(BI26="K",BJ26&gt;0),$BE$26,0)+IF(AND(BI27="K",BJ27&gt;0),$BE$27,0)+IF(AND(BI28="K",BJ28&gt;0),$BE$28,0)+IF(AND(BI29="K",BJ29&gt;0),$BE$29,0)+IF(AND(BI30="K",BJ30&gt;0),$BE$30,0)+IF(AND(BI31="K",BJ31&gt;0),$BE$31,0)+IF(AND(BI32="K",BJ32&gt;0),$BE$32,0)+IF(AND(BI33="K",BJ33&gt;0),$BE$33,0)+IF(AND(BI34="K",BJ34&gt;0),$BE$34,0)+IF(AND(BI35="K",BJ35&gt;0),$BE$35,0)+IF(AND(BI36="K",BJ36&gt;0),$BE$36,0)+IF(AND(BI37="K",BJ37&gt;0),$BE$37,0)+IF(AND(BI38="K",BJ38&gt;0),$BE$38,0)+IF(AND(BI39="K",BJ39&gt;0),$BE$39,0)+IF(AND(BI40="K",BJ40&gt;0),$BE$40,0)+IF(AND(BI41="K",BJ41&gt;0),$BE$41,0)</f>
        <v>0</v>
      </c>
      <c r="BK42" s="610">
        <f t="shared" si="46"/>
        <v>0</v>
      </c>
      <c r="BL42" s="610">
        <f t="shared" si="46"/>
        <v>0</v>
      </c>
      <c r="BM42" s="610">
        <f t="shared" si="46"/>
        <v>0</v>
      </c>
      <c r="BN42" s="610">
        <f t="shared" si="46"/>
        <v>0</v>
      </c>
      <c r="BO42" s="610">
        <f t="shared" si="46"/>
        <v>0</v>
      </c>
      <c r="BP42" s="610">
        <f t="shared" si="46"/>
        <v>0</v>
      </c>
      <c r="BQ42" s="610">
        <f t="shared" si="46"/>
        <v>0</v>
      </c>
      <c r="BS42" s="605" t="s">
        <v>226</v>
      </c>
      <c r="BT42" s="606"/>
      <c r="BU42" s="606"/>
      <c r="BV42" s="599"/>
      <c r="BW42" s="610">
        <f>IF(AND(BV14="K",BW14&gt;0),$BS$14,0)+IF(AND(BV15="K",BW15&gt;0),$BS$15,0)+IF(AND(BV16="K",BW16&gt;0),$BS$16,0)+IF(AND(BV17="K",BW17&gt;0),$BS$17,0)+IF(AND(BV18="K",BW18&gt;0),$BS$18,0)+IF(AND(BV19="K",BW19&gt;0),$BS$19,0)+IF(AND(BV20="K",BW20&gt;0),$BS$20,0)+IF(AND(BV21="K",BW21&gt;0),$BS$21,0)+IF(AND(BV22="K",BW22&gt;0),$BS$22,0)+IF(AND(BV23="K",BW23&gt;0),$BS$23,0)+IF(AND(BV24="K",BW24&gt;0),$BS$24,0)+IF(AND(BV25="K",BW25&gt;0),$BS$25,0)+IF(AND(BV26="K",BW26&gt;0),$BS$26,0)+IF(AND(BV27="K",BW27&gt;0),$BS$27,0)+IF(AND(BV28="K",BW28&gt;0),$BS$28,0)+IF(AND(BV29="K",BW29&gt;0),$BS$29,0)+IF(AND(BV30="K",BW30&gt;0),$BS$30,0)+IF(AND(BV31="K",BW31&gt;0),$BS$31,0)+IF(AND(BV32="K",BW32&gt;0),$BS$32,0)+IF(AND(BV33="K",BW33&gt;0),$BS$33,0)+IF(AND(BV34="K",BW34&gt;0),$BS$34,0)+IF(AND(BV35="K",BW35&gt;0),$BS$35,0)+IF(AND(BV36="K",BW36&gt;0),$BS$36,0)+IF(AND(BV37="K",BW37&gt;0),$BS$37,0)+IF(AND(BV38="K",BW38&gt;0),$BS$38,0)+IF(AND(BV39="K",BW39&gt;0),$BS$39,0)+IF(AND(BV40="K",BW40&gt;0),$BS$40,0)+IF(AND(BV41="K",BW41&gt;0),$BS$41,0)</f>
        <v>0</v>
      </c>
      <c r="BX42" s="610">
        <f t="shared" ref="BX42:CE42" si="47">IF(AND(BW14="K",BX14&gt;0),$BS$14,0)+IF(AND(BW15="K",BX15&gt;0),$BS$15,0)+IF(AND(BW16="K",BX16&gt;0),$BS$16,0)+IF(AND(BW17="K",BX17&gt;0),$BS$17,0)+IF(AND(BW18="K",BX18&gt;0),$BS$18,0)+IF(AND(BW19="K",BX19&gt;0),$BS$19,0)+IF(AND(BW20="K",BX20&gt;0),$BS$20,0)+IF(AND(BW21="K",BX21&gt;0),$BS$21,0)+IF(AND(BW22="K",BX22&gt;0),$BS$22,0)+IF(AND(BW23="K",BX23&gt;0),$BS$23,0)+IF(AND(BW24="K",BX24&gt;0),$BS$24,0)+IF(AND(BW25="K",BX25&gt;0),$BS$25,0)+IF(AND(BW26="K",BX26&gt;0),$BS$26,0)+IF(AND(BW27="K",BX27&gt;0),$BS$27,0)+IF(AND(BW28="K",BX28&gt;0),$BS$28,0)+IF(AND(BW29="K",BX29&gt;0),$BS$29,0)+IF(AND(BW30="K",BX30&gt;0),$BS$30,0)+IF(AND(BW31="K",BX31&gt;0),$BS$31,0)+IF(AND(BW32="K",BX32&gt;0),$BS$32,0)+IF(AND(BW33="K",BX33&gt;0),$BS$33,0)+IF(AND(BW34="K",BX34&gt;0),$BS$34,0)+IF(AND(BW35="K",BX35&gt;0),$BS$35,0)+IF(AND(BW36="K",BX36&gt;0),$BS$36,0)+IF(AND(BW37="K",BX37&gt;0),$BS$37,0)+IF(AND(BW38="K",BX38&gt;0),$BS$38,0)+IF(AND(BW39="K",BX39&gt;0),$BS$39,0)+IF(AND(BW40="K",BX40&gt;0),$BS$40,0)+IF(AND(BW41="K",BX41&gt;0),$BS$41,0)</f>
        <v>0</v>
      </c>
      <c r="BY42" s="610">
        <f t="shared" si="47"/>
        <v>0</v>
      </c>
      <c r="BZ42" s="610">
        <f t="shared" si="47"/>
        <v>0</v>
      </c>
      <c r="CA42" s="610">
        <f t="shared" si="47"/>
        <v>0</v>
      </c>
      <c r="CB42" s="610">
        <f t="shared" si="47"/>
        <v>0</v>
      </c>
      <c r="CC42" s="610">
        <f t="shared" si="47"/>
        <v>0</v>
      </c>
      <c r="CD42" s="610">
        <f t="shared" si="47"/>
        <v>0</v>
      </c>
      <c r="CE42" s="610">
        <f t="shared" si="47"/>
        <v>0</v>
      </c>
    </row>
    <row r="43" spans="1:83" ht="33" hidden="1" customHeight="1">
      <c r="A43" s="607" t="s">
        <v>208</v>
      </c>
      <c r="B43" s="608"/>
      <c r="C43" s="608"/>
      <c r="D43" s="599"/>
      <c r="E43" s="610">
        <f>IF(AND(D14="A",E14&gt;0),$A$14,0)+IF(AND(D15="A",E15&gt;0),$A$15,0)+IF(AND(D16="A",E16&gt;0),$A$16,0)+IF(AND(D17="A",E17&gt;0),$A$17,0)+IF(AND(D18="A",E18&gt;0),$A$18,0)+IF(AND(D19="A",E19&gt;0),$A$19,0)+IF(AND(D20="A",E20&gt;0),$A$20,0)+IF(AND(D21="A",E21&gt;0),$A$21,0)+IF(AND(D22="A",E22&gt;0),$A$22,0)+IF(AND(D23="A",E23&gt;0),$A$23,0)+IF(AND(D24="A",E24&gt;0),$A$24,0)+IF(AND(D25="A",E25&gt;0),$A$25,0)+IF(AND(D26="A",E26&gt;0),$A$26,0)+IF(AND(D27="A",E27&gt;0),$A$27,0)+IF(AND(D28="A",E28&gt;0),$A$28,0)+IF(AND(D29="A",E29&gt;0),$A$29,0)+IF(AND(D30="A",E30&gt;0),$A$30,0)+IF(AND(D31="A",E31&gt;0),$A$31,0)+IF(AND(D32="A",E32&gt;0),$A$32,0)+IF(AND(D33="A",E33&gt;0),$A$33,0)+IF(AND(D34="A",E34&gt;0),$A$34,0)+IF(AND(D35="A",E35&gt;0),$A$35,0)+IF(AND(D36="A",E36&gt;0),$A$36,0)+IF(AND(D37="A",E37&gt;0),$A$37,0)+IF(AND(D38="A",E38&gt;0),$A$38,0)+IF(AND(D39="A",E39&gt;0),$A$39,0)+IF(AND(D40="A",E40&gt;0),$A$40,0)+IF(AND(D41="A",E41&gt;0),$A$41,0)</f>
        <v>0</v>
      </c>
      <c r="F43" s="610">
        <f t="shared" ref="F43:M43" si="48">IF(AND(E14="A",F14&gt;0),$A$14,0)+IF(AND(E15="A",F15&gt;0),$A$15,0)+IF(AND(E16="A",F16&gt;0),$A$16,0)+IF(AND(E17="A",F17&gt;0),$A$17,0)+IF(AND(E18="A",F18&gt;0),$A$18,0)+IF(AND(E19="A",F19&gt;0),$A$19,0)+IF(AND(E20="A",F20&gt;0),$A$20,0)+IF(AND(E21="A",F21&gt;0),$A$21,0)+IF(AND(E22="A",F22&gt;0),$A$22,0)+IF(AND(E23="A",F23&gt;0),$A$23,0)+IF(AND(E24="A",F24&gt;0),$A$24,0)+IF(AND(E25="A",F25&gt;0),$A$25,0)+IF(AND(E26="A",F26&gt;0),$A$26,0)+IF(AND(E27="A",F27&gt;0),$A$27,0)+IF(AND(E28="A",F28&gt;0),$A$28,0)+IF(AND(E29="A",F29&gt;0),$A$29,0)+IF(AND(E30="A",F30&gt;0),$A$30,0)+IF(AND(E31="A",F31&gt;0),$A$31,0)+IF(AND(E32="A",F32&gt;0),$A$32,0)+IF(AND(E33="A",F33&gt;0),$A$33,0)+IF(AND(E34="A",F34&gt;0),$A$34,0)+IF(AND(E35="A",F35&gt;0),$A$35,0)+IF(AND(E36="A",F36&gt;0),$A$36,0)+IF(AND(E37="A",F37&gt;0),$A$37,0)+IF(AND(E38="A",F38&gt;0),$A$38,0)+IF(AND(E39="A",F39&gt;0),$A$39,0)+IF(AND(E40="A",F40&gt;0),$A$40,0)+IF(AND(E41="A",F41&gt;0),$A$41,0)</f>
        <v>0</v>
      </c>
      <c r="G43" s="610">
        <f t="shared" si="48"/>
        <v>0</v>
      </c>
      <c r="H43" s="610">
        <f t="shared" si="48"/>
        <v>0</v>
      </c>
      <c r="I43" s="610">
        <f t="shared" si="48"/>
        <v>0</v>
      </c>
      <c r="J43" s="610">
        <f t="shared" si="48"/>
        <v>0</v>
      </c>
      <c r="K43" s="610">
        <f t="shared" si="48"/>
        <v>0</v>
      </c>
      <c r="L43" s="610">
        <f t="shared" si="48"/>
        <v>0</v>
      </c>
      <c r="M43" s="610">
        <f t="shared" si="48"/>
        <v>0</v>
      </c>
      <c r="N43" s="608"/>
      <c r="O43" s="607" t="s">
        <v>208</v>
      </c>
      <c r="P43" s="608"/>
      <c r="Q43" s="608"/>
      <c r="R43" s="599"/>
      <c r="S43" s="610">
        <f>IF(AND(R14="A",S14&gt;0),$O$14,0)+IF(AND(R15="A",S15&gt;0),$O$15,0)+IF(AND(R16="A",S16&gt;0),$O$16,0)+IF(AND(R17="A",S17&gt;0),$O$17,0)+IF(AND(R18="A",S18&gt;0),$O$18,0)+IF(AND(R19="A",$E19&gt;0),$O$19,0)+IF(AND(R20="A",S20&gt;0),$O$20,0)+IF(AND(R21="A",S21&gt;0),$O$21,0)+IF(AND(R22="A",S22&gt;0),$O$22,0)+IF(AND(R23="A",S23&gt;0),$O$23,0)+IF(AND(R24="A",S24&gt;0),$O$24,0)+IF(AND(R25="A",S25&gt;0),$O$25,0)+IF(AND(R26="A",S26&gt;0),$O$26,0)+IF(AND(R27="A",S27&gt;0),$O$27,0)+IF(AND(R28="A",S28&gt;0),$O$28,0)+IF(AND(R29="A",S29&gt;0),$O$29,0)+IF(AND(R30="A",S30&gt;0),$O$30,0)+IF(AND(R31="A",S31&gt;0),$O$31,0)+IF(AND(R32="A",S32&gt;0),$O$32,0)+IF(AND(R33="A",S33&gt;0),$O$33,0)+IF(AND(R34="A",S34&gt;0),$O$34,0)+IF(AND(R35="A",S35&gt;0),$O$35,0)+IF(AND(R36="A",S36&gt;0),$O$36,0)+IF(AND(R37="A",S37&gt;0),$O$37,0)+IF(AND(R38="A",S38&gt;0),$O$38,0)+IF(AND(R39="A",S39&gt;0),$O$39,0)+IF(AND(R40="A",S40&gt;0),$O$40,0)+IF(AND(R41="A",S41&gt;0),$O$41,0)</f>
        <v>0</v>
      </c>
      <c r="T43" s="610">
        <f t="shared" ref="T43:Z43" si="49">IF(AND(S14="A",T14&gt;0),$O$14,0)+IF(AND(S15="A",T15&gt;0),$O$15,0)+IF(AND(S16="A",T16&gt;0),$O$16,0)+IF(AND(S17="A",T17&gt;0),$O$17,0)+IF(AND(S18="A",T18&gt;0),$O$18,0)+IF(AND(S19="A",$E19&gt;0),$O$19,0)+IF(AND(S20="A",T20&gt;0),$O$20,0)+IF(AND(S21="A",T21&gt;0),$O$21,0)+IF(AND(S22="A",T22&gt;0),$O$22,0)+IF(AND(S23="A",T23&gt;0),$O$23,0)+IF(AND(S24="A",T24&gt;0),$O$24,0)+IF(AND(S25="A",T25&gt;0),$O$25,0)+IF(AND(S26="A",T26&gt;0),$O$26,0)+IF(AND(S27="A",T27&gt;0),$O$27,0)+IF(AND(S28="A",T28&gt;0),$O$28,0)+IF(AND(S29="A",T29&gt;0),$O$29,0)+IF(AND(S30="A",T30&gt;0),$O$30,0)+IF(AND(S31="A",T31&gt;0),$O$31,0)+IF(AND(S32="A",T32&gt;0),$O$32,0)+IF(AND(S33="A",T33&gt;0),$O$33,0)+IF(AND(S34="A",T34&gt;0),$O$34,0)+IF(AND(S35="A",T35&gt;0),$O$35,0)+IF(AND(S36="A",T36&gt;0),$O$36,0)+IF(AND(S37="A",T37&gt;0),$O$37,0)+IF(AND(S38="A",T38&gt;0),$O$38,0)+IF(AND(S39="A",T39&gt;0),$O$39,0)+IF(AND(S40="A",T40&gt;0),$O$40,0)+IF(AND(S41="A",T41&gt;0),$O$41,0)</f>
        <v>0</v>
      </c>
      <c r="U43" s="610">
        <f t="shared" si="49"/>
        <v>0</v>
      </c>
      <c r="V43" s="610">
        <f t="shared" si="49"/>
        <v>0</v>
      </c>
      <c r="W43" s="610">
        <f t="shared" si="49"/>
        <v>0</v>
      </c>
      <c r="X43" s="610">
        <f t="shared" si="49"/>
        <v>0</v>
      </c>
      <c r="Y43" s="610">
        <f t="shared" si="49"/>
        <v>0</v>
      </c>
      <c r="Z43" s="610">
        <f t="shared" si="49"/>
        <v>0</v>
      </c>
      <c r="AA43" s="610">
        <f>IF(AND(Z14="A",AA14&gt;0),$O$14,0)+IF(AND(Z15="A",AA15&gt;0),$O$15,0)+IF(AND(Z16="A",AA16&gt;0),$O$16,0)+IF(AND(Z17="A",AA17&gt;0),$O$17,0)+IF(AND(Z18="A",AA18&gt;0),$O$18,0)+IF(AND(Z19="A",$E19&gt;0),$O$19,0)+IF(AND(Z20="A",AA20&gt;0),$O$20,0)+IF(AND(Z21="A",AA21&gt;0),$O$21,0)+IF(AND(Z22="A",AA22&gt;0),$O$22,0)+IF(AND(Z23="A",AA23&gt;0),$O$23,0)+IF(AND(Z24="A",AA24&gt;0),$O$24,0)+IF(AND(Z25="A",AA25&gt;0),$O$25,0)+IF(AND(Z26="A",AA26&gt;0),$O$26,0)+IF(AND(Z27="A",AA27&gt;0),$O$27,0)+IF(AND(Z28="A",AA28&gt;0),$O$28,0)+IF(AND(Z29="A",AA29&gt;0),$O$29,0)+IF(AND(Z30="A",AA30&gt;0),$O$30,0)+IF(AND(Z31="A",AA31&gt;0),$O$31,0)+IF(AND(Z32="A",AA32&gt;0),$O$32,0)+IF(AND(Z33="A",AA33&gt;0),$O$33,0)+IF(AND(Z34="A",AA34&gt;0),$O$34,0)+IF(AND(Z35="A",AA35&gt;0),$O$35,0)+IF(AND(Z36="A",AA36&gt;0),$O$36,0)+IF(AND(Z37="A",AA37&gt;0),$O$37,0)+IF(AND(Z38="A",AA38&gt;0),$O$38,0)+IF(AND(Z39="A",AA39&gt;0),$O$39,0)+IF(AND(Z40="A",AA40&gt;0),$O$40,0)+IF(AND(Z41="A",AA41&gt;0),$O$41,0)</f>
        <v>0</v>
      </c>
      <c r="AC43" s="607" t="s">
        <v>208</v>
      </c>
      <c r="AD43" s="608"/>
      <c r="AE43" s="608"/>
      <c r="AF43" s="599"/>
      <c r="AG43" s="610">
        <f>IF(AND(AF14="A",AG14&gt;0),$AC$14,0)+IF(AND(AF15="A",AG15&gt;0),$AC$15,0)+IF(AND(AF16="A",AG16&gt;0),$AC$16,0)+IF(AND(AF17="A",AG17&gt;0),$AC$17,0)+IF(AND(AF18="A",AG18&gt;0),$AC$18,0)+IF(AND(AF19="A",$E19&gt;0),$AC$19,0)+IF(AND(AF20="A",AG20&gt;0),$AC$20,0)+IF(AND(AF21="A",AG21&gt;0),$AC$21,0)+IF(AND(AF22="A",AG22&gt;0),$AC$22,0)+IF(AND(AF23="A",AG23&gt;0),$AC$23,0)+IF(AND(AF24="A",AG24&gt;0),$AC$24,0)+IF(AND(AF25="A",AG25&gt;0),$AC$25,0)+IF(AND(AF26="A",AG26&gt;0),$AC$26,0)+IF(AND(AF27="A",AG27&gt;0),$AC$27,0)+IF(AND(AF28="A",AG28&gt;0),$AC$28,0)+IF(AND(AF29="A",AG29&gt;0),$AC$29,0)+IF(AND(AF30="A",AG30&gt;0),$AC$30,0)+IF(AND(AF31="A",AG31&gt;0),$AC$31,0)+IF(AND(AF32="A",AG32&gt;0),$AC$32,0)+IF(AND(AF33="A",AG33&gt;0),$AC$33,0)+IF(AND(AF34="A",AG34&gt;0),$AC$34,0)+IF(AND(AF35="A",AG35&gt;0),$AC$35,0)+IF(AND(AF36="A",AG36&gt;0),$AC$36,0)+IF(AND(AF37="A",AG37&gt;0),$AC$37,0)+IF(AND(AF38="A",AG38&gt;0),$AC$38,0)+IF(AND(AF39="A",AG39&gt;0),$AC$39,0)+IF(AND(AF40="A",AG40&gt;0),$AC$40,0)+IF(AND(AF41="A",AG41&gt;0),$AC$41,0)</f>
        <v>0</v>
      </c>
      <c r="AH43" s="610">
        <f t="shared" ref="AH43:AN43" si="50">IF(AND(AG14="A",AH14&gt;0),$AC$14,0)+IF(AND(AG15="A",AH15&gt;0),$AC$15,0)+IF(AND(AG16="A",AH16&gt;0),$AC$16,0)+IF(AND(AG17="A",AH17&gt;0),$AC$17,0)+IF(AND(AG18="A",AH18&gt;0),$AC$18,0)+IF(AND(AG19="A",$E19&gt;0),$AC$19,0)+IF(AND(AG20="A",AH20&gt;0),$AC$20,0)+IF(AND(AG21="A",AH21&gt;0),$AC$21,0)+IF(AND(AG22="A",AH22&gt;0),$AC$22,0)+IF(AND(AG23="A",AH23&gt;0),$AC$23,0)+IF(AND(AG24="A",AH24&gt;0),$AC$24,0)+IF(AND(AG25="A",AH25&gt;0),$AC$25,0)+IF(AND(AG26="A",AH26&gt;0),$AC$26,0)+IF(AND(AG27="A",AH27&gt;0),$AC$27,0)+IF(AND(AG28="A",AH28&gt;0),$AC$28,0)+IF(AND(AG29="A",AH29&gt;0),$AC$29,0)+IF(AND(AG30="A",AH30&gt;0),$AC$30,0)+IF(AND(AG31="A",AH31&gt;0),$AC$31,0)+IF(AND(AG32="A",AH32&gt;0),$AC$32,0)+IF(AND(AG33="A",AH33&gt;0),$AC$33,0)+IF(AND(AG34="A",AH34&gt;0),$AC$34,0)+IF(AND(AG35="A",AH35&gt;0),$AC$35,0)+IF(AND(AG36="A",AH36&gt;0),$AC$36,0)+IF(AND(AG37="A",AH37&gt;0),$AC$37,0)+IF(AND(AG38="A",AH38&gt;0),$AC$38,0)+IF(AND(AG39="A",AH39&gt;0),$AC$39,0)+IF(AND(AG40="A",AH40&gt;0),$AC$40,0)+IF(AND(AG41="A",AH41&gt;0),$AC$41,0)</f>
        <v>0</v>
      </c>
      <c r="AI43" s="610">
        <f t="shared" si="50"/>
        <v>0</v>
      </c>
      <c r="AJ43" s="610">
        <f t="shared" si="50"/>
        <v>0</v>
      </c>
      <c r="AK43" s="610">
        <f t="shared" si="50"/>
        <v>0</v>
      </c>
      <c r="AL43" s="610">
        <f t="shared" si="50"/>
        <v>0</v>
      </c>
      <c r="AM43" s="610">
        <f t="shared" si="50"/>
        <v>0</v>
      </c>
      <c r="AN43" s="610">
        <f t="shared" si="50"/>
        <v>0</v>
      </c>
      <c r="AO43" s="610">
        <f>IF(AND(AN14="A",AO14&gt;0),$AC$14,0)+IF(AND(AN15="A",AO15&gt;0),$AC$15,0)+IF(AND(AN16="A",AO16&gt;0),$AC$16,0)+IF(AND(AN17="A",AO17&gt;0),$AC$17,0)+IF(AND(AN18="A",AO18&gt;0),$AC$18,0)+IF(AND(AN19="A",$E19&gt;0),$AC$19,0)+IF(AND(AN20="A",AO20&gt;0),$AC$20,0)+IF(AND(AN21="A",AO21&gt;0),$AC$21,0)+IF(AND(AN22="A",AO22&gt;0),$AC$22,0)+IF(AND(AN23="A",AO23&gt;0),$AC$23,0)+IF(AND(AN24="A",AO24&gt;0),$AC$24,0)+IF(AND(AN25="A",AO25&gt;0),$AC$25,0)+IF(AND(AN26="A",AO26&gt;0),$AC$26,0)+IF(AND(AN27="A",AO27&gt;0),$AC$27,0)+IF(AND(AN28="A",AO28&gt;0),$AC$28,0)+IF(AND(AN29="A",AO29&gt;0),$AC$29,0)+IF(AND(AN30="A",AO30&gt;0),$AC$30,0)+IF(AND(AN31="A",AO31&gt;0),$AC$31,0)+IF(AND(AN32="A",AO32&gt;0),$AC$32,0)+IF(AND(AN33="A",AO33&gt;0),$AC$33,0)+IF(AND(AN34="A",AO34&gt;0),$AC$34,0)+IF(AND(AN35="A",AO35&gt;0),$AC$35,0)+IF(AND(AN36="A",AO36&gt;0),$AC$36,0)+IF(AND(AN37="A",AO37&gt;0),$AC$37,0)+IF(AND(AN38="A",AO38&gt;0),$AC$38,0)+IF(AND(AN39="A",AO39&gt;0),$AC$39,0)+IF(AND(AN40="A",AO40&gt;0),$AC$40,0)+IF(AND(AN41="A",AO41&gt;0),$AC$41,0)</f>
        <v>0</v>
      </c>
      <c r="AQ43" s="607" t="s">
        <v>208</v>
      </c>
      <c r="AR43" s="608"/>
      <c r="AS43" s="608"/>
      <c r="AT43" s="599"/>
      <c r="AU43" s="610">
        <f>IF(AND(AT14="A",AU14&gt;0),AQ14,0)+IF(AND(AT15="A",AU15&gt;0),AQ15,0)+IF(AND(AT16="A",AU16&gt;0),AQ16,0)+IF(AND(AT17="A",AU17&gt;0),AQ17,0)+IF(AND(AT18="A",AU18&gt;0),AQ18,0)+IF(AND(AT19="A",$E19&gt;0),AQ19,0)+IF(AND(AT20="A",AU20&gt;0),AQ20,0)+IF(AND(AT21="A",AU21&gt;0),AQ21,0)+IF(AND(AT22="A",AU22&gt;0),AQ22,0)+IF(AND(AT23="A",AU23&gt;0),AQ23,0)+IF(AND(AT24="A",AU24&gt;0),AQ24,0)+IF(AND(AT25="A",AU25&gt;0),AQ25,0)+IF(AND(AT26="A",AU26&gt;0),AQ26,0)+IF(AND(AT27="A",AU27&gt;0),AQ27,0)+IF(AND(AT28="A",AU28&gt;0),AQ28,0)+IF(AND(AT29="A",AU29&gt;0),AQ29,0)+IF(AND(AT30="A",AU30&gt;0),AQ30,0)+IF(AND(AT31="A",AU31&gt;0),AQ31,0)+IF(AND(AT32="A",AU32&gt;0),AQ32,0)+IF(AND(AT33="A",AU33&gt;0),AQ33,0)+IF(AND(AT34="A",AU34&gt;0),AQ34,0)+IF(AND(AT35="A",AU35&gt;0),AQ35,0)+IF(AND(AT36="A",AU36&gt;0),AQ36,0)+IF(AND(AT37="A",AU37&gt;0),AQ37,0)+IF(AND(AT38="A",AU38&gt;0),AQ38,0)+IF(AND(AT39="A",AU39&gt;0),AQ39,0)+IF(AND(AT40="A",AU40&gt;0),AQ40,0)+IF(AND(AT41="A",AU41&gt;0),AQ41,0)</f>
        <v>0</v>
      </c>
      <c r="AV43" s="610">
        <f t="shared" ref="AV43:BB43" si="51">IF(AND(AU14="A",AV14&gt;0),$AQ$14,0)+IF(AND(AU15="A",AV15&gt;0),$AQ$15,0)+IF(AND(AU16="A",AV16&gt;0),$AQ$16,0)+IF(AND(AU17="A",AV17&gt;0),$AQ$17,0)+IF(AND(AU18="A",AV18&gt;0),$AQ$18,0)+IF(AND(AU19="A",$E19&gt;0),$AQ$19,0)+IF(AND(AU20="A",AV20&gt;0),$AQ$20,0)+IF(AND(AU21="A",AV21&gt;0),$AQ$21,0)+IF(AND(AU22="A",AV22&gt;0),$AQ$22,0)+IF(AND(AU23="A",AV23&gt;0),$AQ$23,0)+IF(AND(AU24="A",AV24&gt;0),$AQ$24,0)+IF(AND(AU25="A",AV25&gt;0),$AQ$25,0)+IF(AND(AU26="A",AV26&gt;0),$AQ$26,0)+IF(AND(AU27="A",AV27&gt;0),$AQ$27,0)+IF(AND(AU28="A",AV28&gt;0),$AQ$28,0)+IF(AND(AU29="A",AV29&gt;0),$AQ$29,0)+IF(AND(AU30="A",AV30&gt;0),$AQ$30,0)+IF(AND(AU31="A",AV31&gt;0),$AQ$31,0)+IF(AND(AU32="A",AV32&gt;0),$AQ$32,0)+IF(AND(AU33="A",AV33&gt;0),$AQ$33,0)+IF(AND(AU34="A",AV34&gt;0),$AQ$34,0)+IF(AND(AU35="A",AV35&gt;0),$AQ$35,0)+IF(AND(AU36="A",AV36&gt;0),$AQ$36,0)+IF(AND(AU37="A",AV37&gt;0),$AQ$37,0)+IF(AND(AU38="A",AV38&gt;0),$AQ$38,0)+IF(AND(AU39="A",AV39&gt;0),$AQ$39,0)+IF(AND(AU40="A",AV40&gt;0),$AQ$40,0)+IF(AND(AU41="A",AV41&gt;0),$AQ$41,0)</f>
        <v>0</v>
      </c>
      <c r="AW43" s="610">
        <f t="shared" si="51"/>
        <v>0</v>
      </c>
      <c r="AX43" s="610">
        <f t="shared" si="51"/>
        <v>0</v>
      </c>
      <c r="AY43" s="610">
        <f t="shared" si="51"/>
        <v>0</v>
      </c>
      <c r="AZ43" s="610">
        <f t="shared" si="51"/>
        <v>0</v>
      </c>
      <c r="BA43" s="610">
        <f t="shared" si="51"/>
        <v>0</v>
      </c>
      <c r="BB43" s="610">
        <f t="shared" si="51"/>
        <v>0</v>
      </c>
      <c r="BC43" s="610">
        <f>IF(AND(BB14="A",BC14&gt;0),$AQ$14,0)+IF(AND(BB15="A",BC15&gt;0),$AQ$15,0)+IF(AND(BB16="A",BC16&gt;0),$AQ$16,0)+IF(AND(BB17="A",BC17&gt;0),$AQ$17,0)+IF(AND(BB18="A",BC18&gt;0),$AQ$18,0)+IF(AND(BB19="A",$E19&gt;0),$AQ$19,0)+IF(AND(BB20="A",BC20&gt;0),$AQ$20,0)+IF(AND(BB21="A",BC21&gt;0),$AQ$21,0)+IF(AND(BB22="A",BC22&gt;0),$AQ$22,0)+IF(AND(BB23="A",BC23&gt;0),$AQ$23,0)+IF(AND(BB24="A",BC24&gt;0),$AQ$24,0)+IF(AND(BB25="A",BC25&gt;0),$AQ$25,0)+IF(AND(BB26="A",BC26&gt;0),$AQ$26,0)+IF(AND(BB27="A",BC27&gt;0),$AQ$27,0)+IF(AND(BB28="A",BC28&gt;0),$AQ$28,0)+IF(AND(BB29="A",BC29&gt;0),$AQ$29,0)+IF(AND(BB30="A",BC30&gt;0),$AQ$30,0)+IF(AND(BB31="A",BC31&gt;0),$AQ$31,0)+IF(AND(BB32="A",BC32&gt;0),$AQ$32,0)+IF(AND(BB33="A",BC33&gt;0),$AQ$33,0)+IF(AND(BB34="A",BC34&gt;0),$AQ$34,0)+IF(AND(BB35="A",BC35&gt;0),$AQ$35,0)+IF(AND(BB36="A",BC36&gt;0),$AQ$36,0)+IF(AND(BB37="A",BC37&gt;0),$AQ$37,0)+IF(AND(BB38="A",BC38&gt;0),$AQ$38,0)+IF(AND(BB39="A",BC39&gt;0),$AQ$39,0)+IF(AND(BB40="A",BC40&gt;0),$AQ$40,0)+IF(AND(BB41="A",BC41&gt;0),$AQ$41,0)</f>
        <v>0</v>
      </c>
      <c r="BE43" s="607" t="s">
        <v>208</v>
      </c>
      <c r="BF43" s="608"/>
      <c r="BG43" s="608"/>
      <c r="BH43" s="599"/>
      <c r="BI43" s="610">
        <f>IF(AND(BH14="A",BI14&gt;0),$BE$14,0)+IF(AND(BH15="A",BI15&gt;0),$BE$15,0)+IF(AND(BH16="A",BI16&gt;0),$BE$16,0)+IF(AND(BH17="A",BI17&gt;0),$BE$17,0)+IF(AND(BH18="A",BI18&gt;0),$BE$18,0)+IF(AND(BH19="A",$E19&gt;0),$BE$19,0)+IF(AND(BH20="A",BI20&gt;0),$BE$20,0)+IF(AND(BH21="A",BI21&gt;0),$BE$21,0)+IF(AND(BH22="A",BI22&gt;0),$BE$22,0)+IF(AND(BH23="A",BI23&gt;0),$BE$23,0)+IF(AND(BH24="A",BI24&gt;0),$BE$24,0)+IF(AND(BH25="A",BI25&gt;0),$BE$25,0)+IF(AND(BH26="A",BI26&gt;0),$BE$26,0)+IF(AND(BH27="A",BI27&gt;0),$BE$27,0)+IF(AND(BH28="A",BI28&gt;0),$BE$28,0)+IF(AND(BH29="A",BI29&gt;0),$BE$29,0)+IF(AND(BH30="A",BI30&gt;0),$BE$30,0)+IF(AND(BH31="A",BI31&gt;0),$BE$31,0)+IF(AND(BH32="A",BI32&gt;0),$BE$32,0)+IF(AND(BH33="A",BI33&gt;0),$BE$33,0)+IF(AND(BH34="A",BI34&gt;0),$BE$34,0)+IF(AND(BH35="A",BI35&gt;0),$BE$35,0)+IF(AND(BH36="A",BI36&gt;0),$BE$36,0)+IF(AND(BH37="A",BI37&gt;0),$BE$37,0)+IF(AND(BH38="A",BI38&gt;0),$BE$38,0)+IF(AND(BH39="A",BI39&gt;0),$BE$39,0)+IF(AND(BH40="A",BI40&gt;0),$BE$40,0)+IF(AND(BH41="A",BI41&gt;0),$BE$41,0)</f>
        <v>0</v>
      </c>
      <c r="BJ43" s="610">
        <f t="shared" ref="BJ43:BQ43" si="52">IF(AND(BI14="A",BJ14&gt;0),$BE$14,0)+IF(AND(BI15="A",BJ15&gt;0),$BE$15,0)+IF(AND(BI16="A",BJ16&gt;0),$BE$16,0)+IF(AND(BI17="A",BJ17&gt;0),$BE$17,0)+IF(AND(BI18="A",BJ18&gt;0),$BE$18,0)+IF(AND(BI19="A",$E19&gt;0),$BE$19,0)+IF(AND(BI20="A",BJ20&gt;0),$BE$20,0)+IF(AND(BI21="A",BJ21&gt;0),$BE$21,0)+IF(AND(BI22="A",BJ22&gt;0),$BE$22,0)+IF(AND(BI23="A",BJ23&gt;0),$BE$23,0)+IF(AND(BI24="A",BJ24&gt;0),$BE$24,0)+IF(AND(BI25="A",BJ25&gt;0),$BE$25,0)+IF(AND(BI26="A",BJ26&gt;0),$BE$26,0)+IF(AND(BI27="A",BJ27&gt;0),$BE$27,0)+IF(AND(BI28="A",BJ28&gt;0),$BE$28,0)+IF(AND(BI29="A",BJ29&gt;0),$BE$29,0)+IF(AND(BI30="A",BJ30&gt;0),$BE$30,0)+IF(AND(BI31="A",BJ31&gt;0),$BE$31,0)+IF(AND(BI32="A",BJ32&gt;0),$BE$32,0)+IF(AND(BI33="A",BJ33&gt;0),$BE$33,0)+IF(AND(BI34="A",BJ34&gt;0),$BE$34,0)+IF(AND(BI35="A",BJ35&gt;0),$BE$35,0)+IF(AND(BI36="A",BJ36&gt;0),$BE$36,0)+IF(AND(BI37="A",BJ37&gt;0),$BE$37,0)+IF(AND(BI38="A",BJ38&gt;0),$BE$38,0)+IF(AND(BI39="A",BJ39&gt;0),$BE$39,0)+IF(AND(BI40="A",BJ40&gt;0),$BE$40,0)+IF(AND(BI41="A",BJ41&gt;0),$BE$41,0)</f>
        <v>0</v>
      </c>
      <c r="BK43" s="610">
        <f t="shared" si="52"/>
        <v>0</v>
      </c>
      <c r="BL43" s="610">
        <f t="shared" si="52"/>
        <v>0</v>
      </c>
      <c r="BM43" s="610">
        <f t="shared" si="52"/>
        <v>0</v>
      </c>
      <c r="BN43" s="610">
        <f t="shared" si="52"/>
        <v>0</v>
      </c>
      <c r="BO43" s="610">
        <f t="shared" si="52"/>
        <v>0</v>
      </c>
      <c r="BP43" s="610">
        <f t="shared" si="52"/>
        <v>0</v>
      </c>
      <c r="BQ43" s="610">
        <f t="shared" si="52"/>
        <v>0</v>
      </c>
      <c r="BS43" s="607" t="s">
        <v>208</v>
      </c>
      <c r="BT43" s="608"/>
      <c r="BU43" s="608"/>
      <c r="BV43" s="599"/>
      <c r="BW43" s="610">
        <f>IF(AND(BV14="A",BW14&gt;0),$BS$14,0)+IF(AND(BV15="A",BW15&gt;0),$BS$15,0)+IF(AND(BV16="A",BW16&gt;0),$BS$16,0)+IF(AND(BV17="A",BW17&gt;0),$BS$17,0)+IF(AND(BV18="A",BW18&gt;0),$BS$18,0)+IF(AND(BV19="A",$E19&gt;0),$BS$19,0)+IF(AND(BV20="A",BW20&gt;0),$BS$20,0)+IF(AND(BV21="A",BW21&gt;0),$BS$21,0)+IF(AND(BV22="A",BW22&gt;0),$BS$22,0)+IF(AND(BV23="A",BW23&gt;0),$BS$23,0)+IF(AND(BV24="A",BW24&gt;0),$BS$24,0)+IF(AND(BV25="A",BW25&gt;0),$BS$25,0)+IF(AND(BV26="A",BW26&gt;0),$BS$26,0)+IF(AND(BV27="A",BW27&gt;0),$BS$27,0)+IF(AND(BV28="A",BW28&gt;0),$BS$28,0)+IF(AND(BV29="A",BW29&gt;0),$BS$29,0)+IF(AND(BV30="A",BW30&gt;0),$BS$30,0)+IF(AND(BV31="A",BW31&gt;0),$BS$31,0)+IF(AND(BV32="A",BW32&gt;0),$BS$32,0)+IF(AND(BV33="A",BW33&gt;0),$BS$33,0)+IF(AND(BV34="A",BW34&gt;0),$BS$34,0)+IF(AND(BV35="A",BW35&gt;0),$BS$35,0)+IF(AND(BV36="A",BW36&gt;0),$BS$36,0)+IF(AND(BV37="A",BW37&gt;0),$BS$37,0)+IF(AND(BV38="A",BW38&gt;0),$BS$38,0)+IF(AND(BV39="A",BW39&gt;0),$BS$39,0)+IF(AND(BV40="A",BW40&gt;0),$BS$40,0)+IF(AND(BV41="A",BW41&gt;0),$BS$41,0)</f>
        <v>0</v>
      </c>
      <c r="BX43" s="610">
        <f t="shared" ref="BX43:CE43" si="53">IF(AND(BW14="A",BX14&gt;0),$BS$14,0)+IF(AND(BW15="A",BX15&gt;0),$BS$15,0)+IF(AND(BW16="A",BX16&gt;0),$BS$16,0)+IF(AND(BW17="A",BX17&gt;0),$BS$17,0)+IF(AND(BW18="A",BX18&gt;0),$BS$18,0)+IF(AND(BW19="A",$E19&gt;0),$BS$19,0)+IF(AND(BW20="A",BX20&gt;0),$BS$20,0)+IF(AND(BW21="A",BX21&gt;0),$BS$21,0)+IF(AND(BW22="A",BX22&gt;0),$BS$22,0)+IF(AND(BW23="A",BX23&gt;0),$BS$23,0)+IF(AND(BW24="A",BX24&gt;0),$BS$24,0)+IF(AND(BW25="A",BX25&gt;0),$BS$25,0)+IF(AND(BW26="A",BX26&gt;0),$BS$26,0)+IF(AND(BW27="A",BX27&gt;0),$BS$27,0)+IF(AND(BW28="A",BX28&gt;0),$BS$28,0)+IF(AND(BW29="A",BX29&gt;0),$BS$29,0)+IF(AND(BW30="A",BX30&gt;0),$BS$30,0)+IF(AND(BW31="A",BX31&gt;0),$BS$31,0)+IF(AND(BW32="A",BX32&gt;0),$BS$32,0)+IF(AND(BW33="A",BX33&gt;0),$BS$33,0)+IF(AND(BW34="A",BX34&gt;0),$BS$34,0)+IF(AND(BW35="A",BX35&gt;0),$BS$35,0)+IF(AND(BW36="A",BX36&gt;0),$BS$36,0)+IF(AND(BW37="A",BX37&gt;0),$BS$37,0)+IF(AND(BW38="A",BX38&gt;0),$BS$38,0)+IF(AND(BW39="A",BX39&gt;0),$BS$39,0)+IF(AND(BW40="A",BX40&gt;0),$BS$40,0)+IF(AND(BW41="A",BX41&gt;0),$BS$41,0)</f>
        <v>0</v>
      </c>
      <c r="BY43" s="610">
        <f t="shared" si="53"/>
        <v>0</v>
      </c>
      <c r="BZ43" s="610">
        <f t="shared" si="53"/>
        <v>0</v>
      </c>
      <c r="CA43" s="610">
        <f t="shared" si="53"/>
        <v>0</v>
      </c>
      <c r="CB43" s="610">
        <f t="shared" si="53"/>
        <v>0</v>
      </c>
      <c r="CC43" s="610">
        <f t="shared" si="53"/>
        <v>0</v>
      </c>
      <c r="CD43" s="610">
        <f t="shared" si="53"/>
        <v>0</v>
      </c>
      <c r="CE43" s="610">
        <f t="shared" si="53"/>
        <v>0</v>
      </c>
    </row>
    <row r="44" spans="1:83" ht="33" hidden="1" customHeight="1">
      <c r="A44" s="609"/>
      <c r="B44" s="609"/>
      <c r="C44" s="609"/>
      <c r="D44" s="119"/>
      <c r="E44" s="119"/>
      <c r="F44" s="119"/>
      <c r="G44" s="119"/>
      <c r="H44" s="119"/>
      <c r="I44" s="119"/>
      <c r="K44" s="120"/>
      <c r="L44" s="121"/>
      <c r="M44" s="122"/>
      <c r="N44" s="122"/>
      <c r="O44" s="609"/>
      <c r="P44" s="609"/>
      <c r="Q44" s="609"/>
      <c r="R44" s="119"/>
      <c r="S44" s="119"/>
      <c r="T44" s="119"/>
      <c r="U44" s="119"/>
      <c r="V44" s="119"/>
      <c r="W44" s="119"/>
      <c r="Y44" s="120"/>
      <c r="Z44" s="121"/>
      <c r="AA44" s="122"/>
      <c r="AC44" s="609"/>
      <c r="AD44" s="609"/>
      <c r="AE44" s="609"/>
      <c r="AF44" s="119"/>
      <c r="AG44" s="119"/>
      <c r="AH44" s="119"/>
      <c r="AI44" s="119"/>
      <c r="AJ44" s="119"/>
      <c r="AK44" s="119"/>
      <c r="AM44" s="120"/>
      <c r="AN44" s="121"/>
      <c r="AO44" s="122"/>
      <c r="AQ44" s="609"/>
      <c r="AR44" s="609"/>
      <c r="AS44" s="609"/>
      <c r="AT44" s="119"/>
      <c r="AU44" s="119"/>
      <c r="AV44" s="119"/>
      <c r="AW44" s="119"/>
      <c r="AX44" s="119"/>
      <c r="AY44" s="119"/>
      <c r="BA44" s="120"/>
      <c r="BB44" s="121"/>
      <c r="BC44" s="122"/>
      <c r="BE44" s="609"/>
      <c r="BF44" s="609"/>
      <c r="BG44" s="609"/>
      <c r="BH44" s="119"/>
      <c r="BI44" s="119"/>
      <c r="BJ44" s="119"/>
      <c r="BK44" s="119"/>
      <c r="BL44" s="119"/>
      <c r="BM44" s="119"/>
      <c r="BO44" s="120"/>
      <c r="BP44" s="121"/>
      <c r="BQ44" s="122"/>
      <c r="BS44" s="609"/>
      <c r="BT44" s="609"/>
      <c r="BU44" s="609"/>
      <c r="BV44" s="119"/>
      <c r="BW44" s="119"/>
      <c r="BX44" s="119"/>
      <c r="BY44" s="119"/>
      <c r="BZ44" s="119"/>
      <c r="CA44" s="119"/>
      <c r="CC44" s="120"/>
      <c r="CD44" s="121"/>
      <c r="CE44" s="122"/>
    </row>
    <row r="45" spans="1:83" hidden="1">
      <c r="E45" t="s">
        <v>124</v>
      </c>
      <c r="S45" t="s">
        <v>124</v>
      </c>
      <c r="AG45" t="s">
        <v>124</v>
      </c>
      <c r="AU45" t="s">
        <v>124</v>
      </c>
    </row>
    <row r="46" spans="1:83" hidden="1"/>
    <row r="47" spans="1:83" hidden="1"/>
    <row r="48" spans="1:83" s="656" customFormat="1" hidden="1">
      <c r="A48" s="656" t="s">
        <v>238</v>
      </c>
      <c r="E48" s="657">
        <f>E42*24</f>
        <v>0</v>
      </c>
      <c r="F48" s="657">
        <f t="shared" ref="F48:N48" si="54">F42*24</f>
        <v>0</v>
      </c>
      <c r="G48" s="657">
        <f t="shared" si="54"/>
        <v>0</v>
      </c>
      <c r="H48" s="657">
        <f t="shared" si="54"/>
        <v>0</v>
      </c>
      <c r="I48" s="657">
        <f>I42*24</f>
        <v>0</v>
      </c>
      <c r="J48" s="657">
        <f t="shared" si="54"/>
        <v>0</v>
      </c>
      <c r="K48" s="657">
        <f>K42*24</f>
        <v>0</v>
      </c>
      <c r="L48" s="657">
        <f t="shared" si="54"/>
        <v>0</v>
      </c>
      <c r="M48" s="657">
        <f>M42*24</f>
        <v>0</v>
      </c>
      <c r="N48" s="657">
        <f t="shared" si="54"/>
        <v>0</v>
      </c>
      <c r="O48" s="656" t="s">
        <v>238</v>
      </c>
      <c r="S48" s="657">
        <f>S42*24</f>
        <v>0</v>
      </c>
      <c r="T48" s="657">
        <f t="shared" ref="T48:V48" si="55">T42*24</f>
        <v>0</v>
      </c>
      <c r="U48" s="657">
        <f t="shared" si="55"/>
        <v>0</v>
      </c>
      <c r="V48" s="657">
        <f t="shared" si="55"/>
        <v>0</v>
      </c>
      <c r="W48" s="657">
        <f>W42*24</f>
        <v>0</v>
      </c>
      <c r="X48" s="657">
        <f t="shared" ref="X48" si="56">X42*24</f>
        <v>0</v>
      </c>
      <c r="Y48" s="657">
        <f>Y42*24</f>
        <v>0</v>
      </c>
      <c r="Z48" s="657">
        <f t="shared" ref="Z48" si="57">Z42*24</f>
        <v>0</v>
      </c>
      <c r="AA48" s="657">
        <f>AA42*24</f>
        <v>0</v>
      </c>
      <c r="AC48" s="656" t="s">
        <v>238</v>
      </c>
      <c r="AG48" s="657">
        <f>AG42*24</f>
        <v>0</v>
      </c>
      <c r="AH48" s="657">
        <f t="shared" ref="AH48:AJ48" si="58">AH42*24</f>
        <v>0</v>
      </c>
      <c r="AI48" s="657">
        <f>AI42*24</f>
        <v>0</v>
      </c>
      <c r="AJ48" s="657">
        <f t="shared" si="58"/>
        <v>0</v>
      </c>
      <c r="AK48" s="657">
        <f>AK42*24</f>
        <v>0</v>
      </c>
      <c r="AL48" s="657">
        <f t="shared" ref="AL48" si="59">AL42*24</f>
        <v>0</v>
      </c>
      <c r="AM48" s="657">
        <f>AM42*24</f>
        <v>0</v>
      </c>
      <c r="AN48" s="657">
        <f t="shared" ref="AN48" si="60">AN42*24</f>
        <v>0</v>
      </c>
      <c r="AO48" s="657">
        <f>AO42*24</f>
        <v>0</v>
      </c>
      <c r="AQ48" s="656" t="s">
        <v>238</v>
      </c>
      <c r="AU48" s="657">
        <f>AU42*24</f>
        <v>0</v>
      </c>
      <c r="AV48" s="657">
        <f t="shared" ref="AV48:AX48" si="61">AV42*24</f>
        <v>0</v>
      </c>
      <c r="AW48" s="657">
        <f t="shared" si="61"/>
        <v>0</v>
      </c>
      <c r="AX48" s="657">
        <f t="shared" si="61"/>
        <v>0</v>
      </c>
      <c r="AY48" s="657">
        <f>AY42*24</f>
        <v>0</v>
      </c>
      <c r="AZ48" s="657">
        <f t="shared" ref="AZ48" si="62">AZ42*24</f>
        <v>0</v>
      </c>
      <c r="BA48" s="657">
        <f>BA42*24</f>
        <v>0</v>
      </c>
      <c r="BB48" s="657">
        <f t="shared" ref="BB48" si="63">BB42*24</f>
        <v>0</v>
      </c>
      <c r="BC48" s="657">
        <f>BC42*24</f>
        <v>0</v>
      </c>
      <c r="BE48" s="656" t="s">
        <v>238</v>
      </c>
      <c r="BI48" s="657">
        <f>BI42*24</f>
        <v>0</v>
      </c>
      <c r="BJ48" s="657">
        <f t="shared" ref="BJ48:BL48" si="64">BJ42*24</f>
        <v>0</v>
      </c>
      <c r="BK48" s="657">
        <f t="shared" si="64"/>
        <v>0</v>
      </c>
      <c r="BL48" s="657">
        <f t="shared" si="64"/>
        <v>0</v>
      </c>
      <c r="BM48" s="657">
        <f>BM42*24</f>
        <v>0</v>
      </c>
      <c r="BN48" s="657">
        <f t="shared" ref="BN48" si="65">BN42*24</f>
        <v>0</v>
      </c>
      <c r="BO48" s="657">
        <f>BO42*24</f>
        <v>0</v>
      </c>
      <c r="BP48" s="657">
        <f t="shared" ref="BP48" si="66">BP42*24</f>
        <v>0</v>
      </c>
      <c r="BQ48" s="657">
        <f>BQ42*24</f>
        <v>0</v>
      </c>
      <c r="BS48" s="656" t="s">
        <v>238</v>
      </c>
      <c r="BW48" s="657">
        <f>BW42*24</f>
        <v>0</v>
      </c>
      <c r="BX48" s="657">
        <f t="shared" ref="BX48:BZ48" si="67">BX42*24</f>
        <v>0</v>
      </c>
      <c r="BY48" s="657">
        <f t="shared" si="67"/>
        <v>0</v>
      </c>
      <c r="BZ48" s="657">
        <f t="shared" si="67"/>
        <v>0</v>
      </c>
      <c r="CA48" s="657">
        <f>CA42*24</f>
        <v>0</v>
      </c>
      <c r="CB48" s="657">
        <f t="shared" ref="CB48" si="68">CB42*24</f>
        <v>0</v>
      </c>
      <c r="CC48" s="657">
        <f>CC42*24</f>
        <v>0</v>
      </c>
      <c r="CD48" s="657">
        <f t="shared" ref="CD48" si="69">CD42*24</f>
        <v>0</v>
      </c>
      <c r="CE48" s="657">
        <f>CE42*24</f>
        <v>0</v>
      </c>
    </row>
    <row r="49" spans="1:83" hidden="1">
      <c r="A49" t="s">
        <v>237</v>
      </c>
      <c r="E49" s="1">
        <f>E48*E44</f>
        <v>0</v>
      </c>
      <c r="F49" s="1">
        <f t="shared" ref="F49:N49" si="70">F48*F44</f>
        <v>0</v>
      </c>
      <c r="G49" s="1">
        <f t="shared" si="70"/>
        <v>0</v>
      </c>
      <c r="H49" s="1">
        <f t="shared" si="70"/>
        <v>0</v>
      </c>
      <c r="I49" s="1">
        <f t="shared" si="70"/>
        <v>0</v>
      </c>
      <c r="J49" s="1">
        <f t="shared" si="70"/>
        <v>0</v>
      </c>
      <c r="K49" s="1">
        <f t="shared" ref="K49" si="71">K48*K44</f>
        <v>0</v>
      </c>
      <c r="L49" s="1">
        <f t="shared" si="70"/>
        <v>0</v>
      </c>
      <c r="M49" s="1">
        <f t="shared" si="70"/>
        <v>0</v>
      </c>
      <c r="N49" s="1">
        <f t="shared" si="70"/>
        <v>0</v>
      </c>
      <c r="O49" t="s">
        <v>237</v>
      </c>
      <c r="S49" s="1">
        <f>S48*S44</f>
        <v>0</v>
      </c>
      <c r="T49" s="1">
        <f t="shared" ref="T49:AA49" si="72">T48*T44</f>
        <v>0</v>
      </c>
      <c r="U49" s="1">
        <f t="shared" si="72"/>
        <v>0</v>
      </c>
      <c r="V49" s="1">
        <f t="shared" si="72"/>
        <v>0</v>
      </c>
      <c r="W49" s="1">
        <f t="shared" si="72"/>
        <v>0</v>
      </c>
      <c r="X49" s="1">
        <f t="shared" si="72"/>
        <v>0</v>
      </c>
      <c r="Y49" s="1">
        <f t="shared" si="72"/>
        <v>0</v>
      </c>
      <c r="Z49" s="1">
        <f t="shared" si="72"/>
        <v>0</v>
      </c>
      <c r="AA49" s="1">
        <f t="shared" si="72"/>
        <v>0</v>
      </c>
      <c r="AC49" t="s">
        <v>237</v>
      </c>
      <c r="AG49" s="1">
        <f>AG48*AG44</f>
        <v>0</v>
      </c>
      <c r="AH49" s="1">
        <f t="shared" ref="AH49:AO49" si="73">AH48*AH44</f>
        <v>0</v>
      </c>
      <c r="AI49" s="1">
        <f t="shared" si="73"/>
        <v>0</v>
      </c>
      <c r="AJ49" s="1">
        <f t="shared" si="73"/>
        <v>0</v>
      </c>
      <c r="AK49" s="1">
        <f t="shared" si="73"/>
        <v>0</v>
      </c>
      <c r="AL49" s="1">
        <f t="shared" si="73"/>
        <v>0</v>
      </c>
      <c r="AM49" s="1">
        <f t="shared" si="73"/>
        <v>0</v>
      </c>
      <c r="AN49" s="1">
        <f t="shared" si="73"/>
        <v>0</v>
      </c>
      <c r="AO49" s="1">
        <f t="shared" si="73"/>
        <v>0</v>
      </c>
      <c r="AQ49" t="s">
        <v>237</v>
      </c>
      <c r="AU49" s="1">
        <f>AU48*AU44</f>
        <v>0</v>
      </c>
      <c r="AV49" s="1">
        <f t="shared" ref="AV49:BC49" si="74">AV48*AV44</f>
        <v>0</v>
      </c>
      <c r="AW49" s="1">
        <f t="shared" si="74"/>
        <v>0</v>
      </c>
      <c r="AX49" s="1">
        <f t="shared" si="74"/>
        <v>0</v>
      </c>
      <c r="AY49" s="1">
        <f t="shared" si="74"/>
        <v>0</v>
      </c>
      <c r="AZ49" s="1">
        <f t="shared" si="74"/>
        <v>0</v>
      </c>
      <c r="BA49" s="1">
        <f t="shared" si="74"/>
        <v>0</v>
      </c>
      <c r="BB49" s="1">
        <f t="shared" si="74"/>
        <v>0</v>
      </c>
      <c r="BC49" s="1">
        <f t="shared" si="74"/>
        <v>0</v>
      </c>
      <c r="BE49" t="s">
        <v>237</v>
      </c>
      <c r="BI49" s="1">
        <f>BI48*BI44</f>
        <v>0</v>
      </c>
      <c r="BJ49" s="1">
        <f t="shared" ref="BJ49:BQ49" si="75">BJ48*BJ44</f>
        <v>0</v>
      </c>
      <c r="BK49" s="1">
        <f t="shared" si="75"/>
        <v>0</v>
      </c>
      <c r="BL49" s="1">
        <f t="shared" si="75"/>
        <v>0</v>
      </c>
      <c r="BM49" s="1">
        <f t="shared" si="75"/>
        <v>0</v>
      </c>
      <c r="BN49" s="1">
        <f t="shared" si="75"/>
        <v>0</v>
      </c>
      <c r="BO49" s="1">
        <f t="shared" si="75"/>
        <v>0</v>
      </c>
      <c r="BP49" s="1">
        <f t="shared" si="75"/>
        <v>0</v>
      </c>
      <c r="BQ49" s="1">
        <f t="shared" si="75"/>
        <v>0</v>
      </c>
      <c r="BS49" t="s">
        <v>237</v>
      </c>
      <c r="BW49" s="1">
        <f>BW48*BW44</f>
        <v>0</v>
      </c>
      <c r="BX49" s="1">
        <f t="shared" ref="BX49:CE49" si="76">BX48*BX44</f>
        <v>0</v>
      </c>
      <c r="BY49" s="1">
        <f t="shared" si="76"/>
        <v>0</v>
      </c>
      <c r="BZ49" s="1">
        <f t="shared" si="76"/>
        <v>0</v>
      </c>
      <c r="CA49" s="1">
        <f t="shared" si="76"/>
        <v>0</v>
      </c>
      <c r="CB49" s="1">
        <f t="shared" si="76"/>
        <v>0</v>
      </c>
      <c r="CC49" s="1">
        <f t="shared" si="76"/>
        <v>0</v>
      </c>
      <c r="CD49" s="1">
        <f t="shared" si="76"/>
        <v>0</v>
      </c>
      <c r="CE49" s="1">
        <f t="shared" si="76"/>
        <v>0</v>
      </c>
    </row>
    <row r="50" spans="1:83" hidden="1"/>
    <row r="51" spans="1:83" hidden="1">
      <c r="A51" t="s">
        <v>153</v>
      </c>
      <c r="E51" s="1">
        <f>E43*24</f>
        <v>0</v>
      </c>
      <c r="F51" s="1">
        <f t="shared" ref="F51:N51" si="77">F43*24</f>
        <v>0</v>
      </c>
      <c r="G51" s="1">
        <f t="shared" si="77"/>
        <v>0</v>
      </c>
      <c r="H51" s="1">
        <f t="shared" si="77"/>
        <v>0</v>
      </c>
      <c r="I51" s="1">
        <f t="shared" si="77"/>
        <v>0</v>
      </c>
      <c r="J51" s="1">
        <f t="shared" si="77"/>
        <v>0</v>
      </c>
      <c r="K51" s="1">
        <f t="shared" ref="K51" si="78">K43*24</f>
        <v>0</v>
      </c>
      <c r="L51" s="1">
        <f t="shared" si="77"/>
        <v>0</v>
      </c>
      <c r="M51" s="1">
        <f t="shared" si="77"/>
        <v>0</v>
      </c>
      <c r="N51" s="1">
        <f t="shared" si="77"/>
        <v>0</v>
      </c>
      <c r="O51" t="s">
        <v>153</v>
      </c>
      <c r="S51" s="1">
        <f>S43*24</f>
        <v>0</v>
      </c>
      <c r="T51" s="1">
        <f t="shared" ref="T51:AA51" si="79">T43*24</f>
        <v>0</v>
      </c>
      <c r="U51" s="1">
        <f t="shared" si="79"/>
        <v>0</v>
      </c>
      <c r="V51" s="1">
        <f t="shared" si="79"/>
        <v>0</v>
      </c>
      <c r="W51" s="1">
        <f t="shared" si="79"/>
        <v>0</v>
      </c>
      <c r="X51" s="1">
        <f t="shared" si="79"/>
        <v>0</v>
      </c>
      <c r="Y51" s="1">
        <f t="shared" si="79"/>
        <v>0</v>
      </c>
      <c r="Z51" s="1">
        <f t="shared" si="79"/>
        <v>0</v>
      </c>
      <c r="AA51" s="1">
        <f t="shared" si="79"/>
        <v>0</v>
      </c>
      <c r="AC51" t="s">
        <v>153</v>
      </c>
      <c r="AG51" s="1">
        <f>AG43*24</f>
        <v>0</v>
      </c>
      <c r="AH51" s="1">
        <f t="shared" ref="AH51:AO51" si="80">AH43*24</f>
        <v>0</v>
      </c>
      <c r="AI51" s="1">
        <f t="shared" si="80"/>
        <v>0</v>
      </c>
      <c r="AJ51" s="1">
        <f t="shared" si="80"/>
        <v>0</v>
      </c>
      <c r="AK51" s="1">
        <f t="shared" si="80"/>
        <v>0</v>
      </c>
      <c r="AL51" s="1">
        <f t="shared" si="80"/>
        <v>0</v>
      </c>
      <c r="AM51" s="1">
        <f t="shared" si="80"/>
        <v>0</v>
      </c>
      <c r="AN51" s="1">
        <f t="shared" si="80"/>
        <v>0</v>
      </c>
      <c r="AO51" s="1">
        <f t="shared" si="80"/>
        <v>0</v>
      </c>
      <c r="AQ51" t="s">
        <v>153</v>
      </c>
      <c r="AU51" s="1">
        <f>AU43*24</f>
        <v>0</v>
      </c>
      <c r="AV51" s="1">
        <f t="shared" ref="AV51:BC51" si="81">AV43*24</f>
        <v>0</v>
      </c>
      <c r="AW51" s="1">
        <f t="shared" si="81"/>
        <v>0</v>
      </c>
      <c r="AX51" s="1">
        <f t="shared" si="81"/>
        <v>0</v>
      </c>
      <c r="AY51" s="1">
        <f t="shared" si="81"/>
        <v>0</v>
      </c>
      <c r="AZ51" s="1">
        <f t="shared" si="81"/>
        <v>0</v>
      </c>
      <c r="BA51" s="1">
        <f t="shared" si="81"/>
        <v>0</v>
      </c>
      <c r="BB51" s="1">
        <f t="shared" si="81"/>
        <v>0</v>
      </c>
      <c r="BC51" s="1">
        <f t="shared" si="81"/>
        <v>0</v>
      </c>
      <c r="BE51" t="s">
        <v>153</v>
      </c>
      <c r="BI51" s="1">
        <f>BI43*24</f>
        <v>0</v>
      </c>
      <c r="BJ51" s="1">
        <f t="shared" ref="BJ51:BQ51" si="82">BJ43*24</f>
        <v>0</v>
      </c>
      <c r="BK51" s="1">
        <f t="shared" si="82"/>
        <v>0</v>
      </c>
      <c r="BL51" s="1">
        <f t="shared" si="82"/>
        <v>0</v>
      </c>
      <c r="BM51" s="1">
        <f t="shared" si="82"/>
        <v>0</v>
      </c>
      <c r="BN51" s="1">
        <f t="shared" si="82"/>
        <v>0</v>
      </c>
      <c r="BO51" s="1">
        <f t="shared" si="82"/>
        <v>0</v>
      </c>
      <c r="BP51" s="1">
        <f t="shared" si="82"/>
        <v>0</v>
      </c>
      <c r="BQ51" s="1">
        <f t="shared" si="82"/>
        <v>0</v>
      </c>
      <c r="BS51" t="s">
        <v>153</v>
      </c>
      <c r="BW51" s="1">
        <f>BW43*24</f>
        <v>0</v>
      </c>
      <c r="BX51" s="1">
        <f t="shared" ref="BX51:CE51" si="83">BX43*24</f>
        <v>0</v>
      </c>
      <c r="BY51" s="1">
        <f t="shared" si="83"/>
        <v>0</v>
      </c>
      <c r="BZ51" s="1">
        <f t="shared" si="83"/>
        <v>0</v>
      </c>
      <c r="CA51" s="1">
        <f t="shared" si="83"/>
        <v>0</v>
      </c>
      <c r="CB51" s="1">
        <f t="shared" si="83"/>
        <v>0</v>
      </c>
      <c r="CC51" s="1">
        <f t="shared" si="83"/>
        <v>0</v>
      </c>
      <c r="CD51" s="1">
        <f t="shared" si="83"/>
        <v>0</v>
      </c>
      <c r="CE51" s="1">
        <f t="shared" si="83"/>
        <v>0</v>
      </c>
    </row>
    <row r="52" spans="1:83" hidden="1">
      <c r="E52" s="1">
        <f>E51*E44</f>
        <v>0</v>
      </c>
      <c r="F52" s="1">
        <f t="shared" ref="F52:N52" si="84">F51*F44</f>
        <v>0</v>
      </c>
      <c r="G52" s="1">
        <f t="shared" si="84"/>
        <v>0</v>
      </c>
      <c r="H52" s="1">
        <f t="shared" si="84"/>
        <v>0</v>
      </c>
      <c r="I52" s="1">
        <f t="shared" si="84"/>
        <v>0</v>
      </c>
      <c r="J52" s="1">
        <f t="shared" si="84"/>
        <v>0</v>
      </c>
      <c r="K52" s="1">
        <f t="shared" ref="K52" si="85">K51*K44</f>
        <v>0</v>
      </c>
      <c r="L52" s="1">
        <f t="shared" si="84"/>
        <v>0</v>
      </c>
      <c r="M52" s="1">
        <f t="shared" si="84"/>
        <v>0</v>
      </c>
      <c r="N52" s="1">
        <f t="shared" si="84"/>
        <v>0</v>
      </c>
      <c r="S52" s="1">
        <f>S51*S44</f>
        <v>0</v>
      </c>
      <c r="T52" s="1">
        <f t="shared" ref="T52:AA52" si="86">T51*T44</f>
        <v>0</v>
      </c>
      <c r="U52" s="1">
        <f t="shared" si="86"/>
        <v>0</v>
      </c>
      <c r="V52" s="1">
        <f t="shared" si="86"/>
        <v>0</v>
      </c>
      <c r="W52" s="1">
        <f t="shared" si="86"/>
        <v>0</v>
      </c>
      <c r="X52" s="1">
        <f t="shared" si="86"/>
        <v>0</v>
      </c>
      <c r="Y52" s="1">
        <f t="shared" si="86"/>
        <v>0</v>
      </c>
      <c r="Z52" s="1">
        <f t="shared" si="86"/>
        <v>0</v>
      </c>
      <c r="AA52" s="1">
        <f t="shared" si="86"/>
        <v>0</v>
      </c>
      <c r="AG52" s="1">
        <f>AG51*AG44</f>
        <v>0</v>
      </c>
      <c r="AH52" s="1">
        <f t="shared" ref="AH52:AO52" si="87">AH51*AH44</f>
        <v>0</v>
      </c>
      <c r="AI52" s="1">
        <f t="shared" si="87"/>
        <v>0</v>
      </c>
      <c r="AJ52" s="1">
        <f t="shared" si="87"/>
        <v>0</v>
      </c>
      <c r="AK52" s="1">
        <f t="shared" si="87"/>
        <v>0</v>
      </c>
      <c r="AL52" s="1">
        <f t="shared" si="87"/>
        <v>0</v>
      </c>
      <c r="AM52" s="1">
        <f t="shared" si="87"/>
        <v>0</v>
      </c>
      <c r="AN52" s="1">
        <f t="shared" si="87"/>
        <v>0</v>
      </c>
      <c r="AO52" s="1">
        <f t="shared" si="87"/>
        <v>0</v>
      </c>
      <c r="AU52" s="1">
        <f>AU51*AU44</f>
        <v>0</v>
      </c>
      <c r="AV52" s="1">
        <f t="shared" ref="AV52:BC52" si="88">AV51*AV44</f>
        <v>0</v>
      </c>
      <c r="AW52" s="1">
        <f t="shared" si="88"/>
        <v>0</v>
      </c>
      <c r="AX52" s="1">
        <f t="shared" si="88"/>
        <v>0</v>
      </c>
      <c r="AY52" s="1">
        <f t="shared" si="88"/>
        <v>0</v>
      </c>
      <c r="AZ52" s="1">
        <f t="shared" si="88"/>
        <v>0</v>
      </c>
      <c r="BA52" s="1">
        <f t="shared" si="88"/>
        <v>0</v>
      </c>
      <c r="BB52" s="1">
        <f t="shared" si="88"/>
        <v>0</v>
      </c>
      <c r="BC52" s="1">
        <f t="shared" si="88"/>
        <v>0</v>
      </c>
      <c r="BI52" s="1">
        <f>BI51*BI44</f>
        <v>0</v>
      </c>
      <c r="BJ52" s="1">
        <f t="shared" ref="BJ52:BQ52" si="89">BJ51*BJ44</f>
        <v>0</v>
      </c>
      <c r="BK52" s="1">
        <f t="shared" si="89"/>
        <v>0</v>
      </c>
      <c r="BL52" s="1">
        <f t="shared" si="89"/>
        <v>0</v>
      </c>
      <c r="BM52" s="1">
        <f t="shared" si="89"/>
        <v>0</v>
      </c>
      <c r="BN52" s="1">
        <f t="shared" si="89"/>
        <v>0</v>
      </c>
      <c r="BO52" s="1">
        <f t="shared" si="89"/>
        <v>0</v>
      </c>
      <c r="BP52" s="1">
        <f t="shared" si="89"/>
        <v>0</v>
      </c>
      <c r="BQ52" s="1">
        <f t="shared" si="89"/>
        <v>0</v>
      </c>
      <c r="BW52" s="1">
        <f>BW51*BW44</f>
        <v>0</v>
      </c>
      <c r="BX52" s="1">
        <f t="shared" ref="BX52:CE52" si="90">BX51*BX44</f>
        <v>0</v>
      </c>
      <c r="BY52" s="1">
        <f t="shared" si="90"/>
        <v>0</v>
      </c>
      <c r="BZ52" s="1">
        <f t="shared" si="90"/>
        <v>0</v>
      </c>
      <c r="CA52" s="1">
        <f t="shared" si="90"/>
        <v>0</v>
      </c>
      <c r="CB52" s="1">
        <f t="shared" si="90"/>
        <v>0</v>
      </c>
      <c r="CC52" s="1">
        <f t="shared" si="90"/>
        <v>0</v>
      </c>
      <c r="CD52" s="1">
        <f t="shared" si="90"/>
        <v>0</v>
      </c>
      <c r="CE52" s="1">
        <f t="shared" si="90"/>
        <v>0</v>
      </c>
    </row>
    <row r="53" spans="1:83" hidden="1">
      <c r="A53" t="s">
        <v>125</v>
      </c>
      <c r="O53" t="s">
        <v>125</v>
      </c>
      <c r="AC53" t="s">
        <v>125</v>
      </c>
      <c r="AQ53" t="s">
        <v>125</v>
      </c>
      <c r="BE53" t="s">
        <v>125</v>
      </c>
      <c r="BS53" t="s">
        <v>125</v>
      </c>
    </row>
    <row r="54" spans="1:83" ht="17" thickBot="1">
      <c r="AO54" s="1"/>
      <c r="BC54" s="1"/>
      <c r="BQ54" s="1"/>
      <c r="CE54" s="1"/>
    </row>
    <row r="55" spans="1:83" ht="52" customHeight="1">
      <c r="A55" s="825" t="s">
        <v>139</v>
      </c>
      <c r="B55" s="826"/>
      <c r="C55" s="826"/>
      <c r="D55" s="826"/>
      <c r="E55" s="826"/>
      <c r="F55" s="826"/>
      <c r="G55" s="826"/>
      <c r="H55" s="826"/>
      <c r="I55" s="826"/>
      <c r="J55" s="826"/>
      <c r="K55" s="827"/>
      <c r="L55" s="597" t="s">
        <v>117</v>
      </c>
      <c r="M55" s="216" t="s">
        <v>119</v>
      </c>
      <c r="N55" s="597" t="s">
        <v>120</v>
      </c>
      <c r="O55" s="216" t="s">
        <v>121</v>
      </c>
      <c r="P55" s="597" t="s">
        <v>130</v>
      </c>
      <c r="Q55" s="216" t="s">
        <v>131</v>
      </c>
      <c r="R55" s="597" t="s">
        <v>132</v>
      </c>
      <c r="S55" s="216" t="s">
        <v>133</v>
      </c>
      <c r="T55" s="597" t="s">
        <v>134</v>
      </c>
      <c r="U55" s="216" t="s">
        <v>135</v>
      </c>
      <c r="V55" s="597" t="s">
        <v>136</v>
      </c>
      <c r="W55" s="216" t="s">
        <v>137</v>
      </c>
    </row>
    <row r="56" spans="1:83" ht="18" customHeight="1" thickBot="1">
      <c r="A56" s="828" t="s">
        <v>287</v>
      </c>
      <c r="B56" s="829"/>
      <c r="C56" s="829"/>
      <c r="D56" s="829"/>
      <c r="E56" s="829"/>
      <c r="F56" s="829"/>
      <c r="G56" s="829"/>
      <c r="H56" s="829"/>
      <c r="I56" s="829"/>
      <c r="J56" s="829"/>
      <c r="K56" s="830"/>
      <c r="L56" s="597"/>
      <c r="M56" s="216"/>
      <c r="N56" s="597"/>
      <c r="O56" s="216"/>
      <c r="P56" s="597"/>
      <c r="Q56" s="216"/>
      <c r="R56" s="597"/>
      <c r="S56" s="216"/>
      <c r="T56" s="597"/>
      <c r="U56" s="216"/>
      <c r="V56" s="597"/>
      <c r="W56" s="216"/>
    </row>
    <row r="57" spans="1:83" ht="44" customHeight="1">
      <c r="A57" s="820" t="s">
        <v>286</v>
      </c>
      <c r="B57" s="821"/>
      <c r="C57" s="821"/>
      <c r="D57" s="821"/>
      <c r="E57" s="821"/>
      <c r="F57" s="821"/>
      <c r="G57" s="822"/>
      <c r="H57" s="823" t="s">
        <v>116</v>
      </c>
      <c r="I57" s="823"/>
      <c r="J57" s="823" t="s">
        <v>118</v>
      </c>
      <c r="K57" s="831"/>
      <c r="L57" s="597"/>
      <c r="M57" s="216"/>
      <c r="N57" s="597"/>
      <c r="O57" s="216"/>
      <c r="P57" s="597"/>
      <c r="Q57" s="216"/>
      <c r="R57" s="597"/>
      <c r="S57" s="216"/>
      <c r="T57" s="597"/>
      <c r="U57" s="216"/>
      <c r="V57" s="597"/>
      <c r="W57" s="216"/>
    </row>
    <row r="58" spans="1:83" ht="16" customHeight="1">
      <c r="A58" s="816"/>
      <c r="B58" s="817"/>
      <c r="C58" s="817"/>
      <c r="D58" s="817"/>
      <c r="E58" s="817"/>
      <c r="F58" s="817"/>
      <c r="G58" s="818"/>
      <c r="H58" s="819"/>
      <c r="I58" s="818"/>
      <c r="J58" s="832"/>
      <c r="K58" s="833"/>
      <c r="L58" s="597">
        <f t="shared" ref="L58" si="91">IF(H58="August",J58,0)</f>
        <v>0</v>
      </c>
      <c r="M58" s="597">
        <f t="shared" ref="M58" si="92">IF(H58="September",J58,0)</f>
        <v>0</v>
      </c>
      <c r="N58" s="597">
        <f t="shared" ref="N58" si="93">IF(H58="Oktober",J58,0)</f>
        <v>0</v>
      </c>
      <c r="O58" s="597">
        <f t="shared" ref="O58" si="94">IF(H58="November",J58,0)</f>
        <v>0</v>
      </c>
      <c r="P58" s="597">
        <f t="shared" ref="P58" si="95">IF(H58="December",J58,0)</f>
        <v>0</v>
      </c>
      <c r="Q58" s="597">
        <f t="shared" ref="Q58" si="96">IF(H58="Januar",J58,0)</f>
        <v>0</v>
      </c>
      <c r="R58" s="597">
        <f t="shared" ref="R58" si="97">IF(H58="Februar",J58,0)</f>
        <v>0</v>
      </c>
      <c r="S58" s="597">
        <f t="shared" ref="S58" si="98">IF(H58="Marts",J58,0)</f>
        <v>0</v>
      </c>
      <c r="T58" s="597">
        <f t="shared" ref="T58" si="99">IF(H58="April",J58,0)</f>
        <v>0</v>
      </c>
      <c r="U58" s="597">
        <f t="shared" ref="U58" si="100">IF(H58="Maj",J58,0)</f>
        <v>0</v>
      </c>
      <c r="V58" s="597">
        <f t="shared" ref="V58" si="101">IF(H58="Juni",J58,0)</f>
        <v>0</v>
      </c>
      <c r="W58" s="597">
        <f t="shared" ref="W58" si="102">IF(H58="Juli",J58,0)</f>
        <v>0</v>
      </c>
    </row>
    <row r="59" spans="1:83">
      <c r="A59" s="816"/>
      <c r="B59" s="817"/>
      <c r="C59" s="817"/>
      <c r="D59" s="817"/>
      <c r="E59" s="817"/>
      <c r="F59" s="817"/>
      <c r="G59" s="818"/>
      <c r="H59" s="819"/>
      <c r="I59" s="818"/>
      <c r="J59" s="832"/>
      <c r="K59" s="833"/>
      <c r="L59" s="597">
        <f t="shared" ref="L59:L97" si="103">IF(H59="August",J59,0)</f>
        <v>0</v>
      </c>
      <c r="M59" s="597">
        <f t="shared" ref="M59:M97" si="104">IF(H59="September",J59,0)</f>
        <v>0</v>
      </c>
      <c r="N59" s="597">
        <f t="shared" ref="N59:N97" si="105">IF(H59="Oktober",J59,0)</f>
        <v>0</v>
      </c>
      <c r="O59" s="597">
        <f t="shared" ref="O59:O97" si="106">IF(H59="November",J59,0)</f>
        <v>0</v>
      </c>
      <c r="P59" s="597">
        <f t="shared" ref="P59:P97" si="107">IF(H59="December",J59,0)</f>
        <v>0</v>
      </c>
      <c r="Q59" s="597">
        <f t="shared" ref="Q59:Q97" si="108">IF(H59="Januar",J59,0)</f>
        <v>0</v>
      </c>
      <c r="R59" s="597">
        <f t="shared" ref="R59:R97" si="109">IF(H59="Februar",J59,0)</f>
        <v>0</v>
      </c>
      <c r="S59" s="597">
        <f t="shared" ref="S59:S97" si="110">IF(H59="Marts",J59,0)</f>
        <v>0</v>
      </c>
      <c r="T59" s="597">
        <f t="shared" ref="T59:T97" si="111">IF(H59="April",J59,0)</f>
        <v>0</v>
      </c>
      <c r="U59" s="597">
        <f t="shared" ref="U59:U97" si="112">IF(H59="Maj",J59,0)</f>
        <v>0</v>
      </c>
      <c r="V59" s="597">
        <f t="shared" ref="V59:V97" si="113">IF(H59="Juni",J59,0)</f>
        <v>0</v>
      </c>
      <c r="W59" s="597">
        <f t="shared" ref="W59:W97" si="114">IF(H59="Juli",J59,0)</f>
        <v>0</v>
      </c>
    </row>
    <row r="60" spans="1:83">
      <c r="A60" s="816"/>
      <c r="B60" s="817"/>
      <c r="C60" s="817"/>
      <c r="D60" s="817"/>
      <c r="E60" s="817"/>
      <c r="F60" s="817"/>
      <c r="G60" s="818"/>
      <c r="H60" s="819"/>
      <c r="I60" s="818"/>
      <c r="J60" s="832"/>
      <c r="K60" s="833"/>
      <c r="L60" s="597">
        <f t="shared" si="103"/>
        <v>0</v>
      </c>
      <c r="M60" s="597">
        <f t="shared" si="104"/>
        <v>0</v>
      </c>
      <c r="N60" s="597">
        <f t="shared" si="105"/>
        <v>0</v>
      </c>
      <c r="O60" s="597">
        <f t="shared" si="106"/>
        <v>0</v>
      </c>
      <c r="P60" s="597">
        <f t="shared" si="107"/>
        <v>0</v>
      </c>
      <c r="Q60" s="597">
        <f t="shared" si="108"/>
        <v>0</v>
      </c>
      <c r="R60" s="597">
        <f t="shared" si="109"/>
        <v>0</v>
      </c>
      <c r="S60" s="597">
        <f t="shared" si="110"/>
        <v>0</v>
      </c>
      <c r="T60" s="597">
        <f t="shared" si="111"/>
        <v>0</v>
      </c>
      <c r="U60" s="597">
        <f t="shared" si="112"/>
        <v>0</v>
      </c>
      <c r="V60" s="597">
        <f t="shared" si="113"/>
        <v>0</v>
      </c>
      <c r="W60" s="597">
        <f t="shared" si="114"/>
        <v>0</v>
      </c>
    </row>
    <row r="61" spans="1:83">
      <c r="A61" s="816"/>
      <c r="B61" s="817"/>
      <c r="C61" s="817"/>
      <c r="D61" s="817"/>
      <c r="E61" s="817"/>
      <c r="F61" s="817"/>
      <c r="G61" s="818"/>
      <c r="H61" s="819"/>
      <c r="I61" s="818"/>
      <c r="J61" s="832"/>
      <c r="K61" s="833"/>
      <c r="L61" s="597">
        <f t="shared" si="103"/>
        <v>0</v>
      </c>
      <c r="M61" s="597">
        <f t="shared" si="104"/>
        <v>0</v>
      </c>
      <c r="N61" s="597">
        <f t="shared" si="105"/>
        <v>0</v>
      </c>
      <c r="O61" s="597">
        <f t="shared" si="106"/>
        <v>0</v>
      </c>
      <c r="P61" s="597">
        <f t="shared" si="107"/>
        <v>0</v>
      </c>
      <c r="Q61" s="597">
        <f t="shared" si="108"/>
        <v>0</v>
      </c>
      <c r="R61" s="597">
        <f t="shared" si="109"/>
        <v>0</v>
      </c>
      <c r="S61" s="597">
        <f t="shared" si="110"/>
        <v>0</v>
      </c>
      <c r="T61" s="597">
        <f t="shared" si="111"/>
        <v>0</v>
      </c>
      <c r="U61" s="597">
        <f t="shared" si="112"/>
        <v>0</v>
      </c>
      <c r="V61" s="597">
        <f t="shared" si="113"/>
        <v>0</v>
      </c>
      <c r="W61" s="597">
        <f t="shared" si="114"/>
        <v>0</v>
      </c>
    </row>
    <row r="62" spans="1:83">
      <c r="A62" s="816"/>
      <c r="B62" s="817"/>
      <c r="C62" s="817"/>
      <c r="D62" s="817"/>
      <c r="E62" s="817"/>
      <c r="F62" s="817"/>
      <c r="G62" s="818"/>
      <c r="H62" s="819"/>
      <c r="I62" s="818"/>
      <c r="J62" s="832"/>
      <c r="K62" s="833"/>
      <c r="L62" s="597">
        <f t="shared" si="103"/>
        <v>0</v>
      </c>
      <c r="M62" s="597">
        <f t="shared" si="104"/>
        <v>0</v>
      </c>
      <c r="N62" s="597">
        <f t="shared" si="105"/>
        <v>0</v>
      </c>
      <c r="O62" s="597">
        <f t="shared" si="106"/>
        <v>0</v>
      </c>
      <c r="P62" s="597">
        <f t="shared" si="107"/>
        <v>0</v>
      </c>
      <c r="Q62" s="597">
        <f t="shared" si="108"/>
        <v>0</v>
      </c>
      <c r="R62" s="597">
        <f t="shared" si="109"/>
        <v>0</v>
      </c>
      <c r="S62" s="597">
        <f t="shared" si="110"/>
        <v>0</v>
      </c>
      <c r="T62" s="597">
        <f t="shared" si="111"/>
        <v>0</v>
      </c>
      <c r="U62" s="597">
        <f t="shared" si="112"/>
        <v>0</v>
      </c>
      <c r="V62" s="597">
        <f t="shared" si="113"/>
        <v>0</v>
      </c>
      <c r="W62" s="597">
        <f t="shared" si="114"/>
        <v>0</v>
      </c>
    </row>
    <row r="63" spans="1:83">
      <c r="A63" s="816"/>
      <c r="B63" s="817"/>
      <c r="C63" s="817"/>
      <c r="D63" s="817"/>
      <c r="E63" s="817"/>
      <c r="F63" s="817"/>
      <c r="G63" s="818"/>
      <c r="H63" s="819"/>
      <c r="I63" s="818"/>
      <c r="J63" s="832"/>
      <c r="K63" s="833"/>
      <c r="L63" s="597">
        <f t="shared" si="103"/>
        <v>0</v>
      </c>
      <c r="M63" s="597">
        <f t="shared" si="104"/>
        <v>0</v>
      </c>
      <c r="N63" s="597">
        <f t="shared" si="105"/>
        <v>0</v>
      </c>
      <c r="O63" s="597">
        <f t="shared" si="106"/>
        <v>0</v>
      </c>
      <c r="P63" s="597">
        <f t="shared" si="107"/>
        <v>0</v>
      </c>
      <c r="Q63" s="597">
        <f t="shared" si="108"/>
        <v>0</v>
      </c>
      <c r="R63" s="597">
        <f t="shared" si="109"/>
        <v>0</v>
      </c>
      <c r="S63" s="597">
        <f t="shared" si="110"/>
        <v>0</v>
      </c>
      <c r="T63" s="597">
        <f t="shared" si="111"/>
        <v>0</v>
      </c>
      <c r="U63" s="597">
        <f t="shared" si="112"/>
        <v>0</v>
      </c>
      <c r="V63" s="597">
        <f t="shared" si="113"/>
        <v>0</v>
      </c>
      <c r="W63" s="597">
        <f t="shared" si="114"/>
        <v>0</v>
      </c>
    </row>
    <row r="64" spans="1:83">
      <c r="A64" s="816"/>
      <c r="B64" s="817"/>
      <c r="C64" s="817"/>
      <c r="D64" s="817"/>
      <c r="E64" s="817"/>
      <c r="F64" s="817"/>
      <c r="G64" s="818"/>
      <c r="H64" s="819"/>
      <c r="I64" s="818"/>
      <c r="J64" s="832"/>
      <c r="K64" s="833"/>
      <c r="L64" s="597">
        <f t="shared" si="103"/>
        <v>0</v>
      </c>
      <c r="M64" s="597">
        <f t="shared" si="104"/>
        <v>0</v>
      </c>
      <c r="N64" s="597">
        <f t="shared" si="105"/>
        <v>0</v>
      </c>
      <c r="O64" s="597">
        <f t="shared" si="106"/>
        <v>0</v>
      </c>
      <c r="P64" s="597">
        <f t="shared" si="107"/>
        <v>0</v>
      </c>
      <c r="Q64" s="597">
        <f t="shared" si="108"/>
        <v>0</v>
      </c>
      <c r="R64" s="597">
        <f t="shared" si="109"/>
        <v>0</v>
      </c>
      <c r="S64" s="597">
        <f t="shared" si="110"/>
        <v>0</v>
      </c>
      <c r="T64" s="597">
        <f t="shared" si="111"/>
        <v>0</v>
      </c>
      <c r="U64" s="597">
        <f t="shared" si="112"/>
        <v>0</v>
      </c>
      <c r="V64" s="597">
        <f t="shared" si="113"/>
        <v>0</v>
      </c>
      <c r="W64" s="597">
        <f t="shared" si="114"/>
        <v>0</v>
      </c>
    </row>
    <row r="65" spans="1:23">
      <c r="A65" s="816"/>
      <c r="B65" s="817"/>
      <c r="C65" s="817"/>
      <c r="D65" s="817"/>
      <c r="E65" s="817"/>
      <c r="F65" s="817"/>
      <c r="G65" s="818"/>
      <c r="H65" s="819"/>
      <c r="I65" s="818"/>
      <c r="J65" s="832"/>
      <c r="K65" s="833"/>
      <c r="L65" s="597">
        <f t="shared" si="103"/>
        <v>0</v>
      </c>
      <c r="M65" s="597">
        <f t="shared" si="104"/>
        <v>0</v>
      </c>
      <c r="N65" s="597">
        <f t="shared" si="105"/>
        <v>0</v>
      </c>
      <c r="O65" s="597">
        <f t="shared" si="106"/>
        <v>0</v>
      </c>
      <c r="P65" s="597">
        <f t="shared" si="107"/>
        <v>0</v>
      </c>
      <c r="Q65" s="597">
        <f t="shared" si="108"/>
        <v>0</v>
      </c>
      <c r="R65" s="597">
        <f t="shared" si="109"/>
        <v>0</v>
      </c>
      <c r="S65" s="597">
        <f t="shared" si="110"/>
        <v>0</v>
      </c>
      <c r="T65" s="597">
        <f t="shared" si="111"/>
        <v>0</v>
      </c>
      <c r="U65" s="597">
        <f t="shared" si="112"/>
        <v>0</v>
      </c>
      <c r="V65" s="597">
        <f t="shared" si="113"/>
        <v>0</v>
      </c>
      <c r="W65" s="597">
        <f t="shared" si="114"/>
        <v>0</v>
      </c>
    </row>
    <row r="66" spans="1:23">
      <c r="A66" s="816"/>
      <c r="B66" s="817"/>
      <c r="C66" s="817"/>
      <c r="D66" s="817"/>
      <c r="E66" s="817"/>
      <c r="F66" s="817"/>
      <c r="G66" s="818"/>
      <c r="H66" s="819"/>
      <c r="I66" s="818"/>
      <c r="J66" s="832"/>
      <c r="K66" s="833"/>
      <c r="L66" s="597">
        <f t="shared" si="103"/>
        <v>0</v>
      </c>
      <c r="M66" s="597">
        <f t="shared" si="104"/>
        <v>0</v>
      </c>
      <c r="N66" s="597">
        <f t="shared" si="105"/>
        <v>0</v>
      </c>
      <c r="O66" s="597">
        <f t="shared" si="106"/>
        <v>0</v>
      </c>
      <c r="P66" s="597">
        <f t="shared" si="107"/>
        <v>0</v>
      </c>
      <c r="Q66" s="597">
        <f t="shared" si="108"/>
        <v>0</v>
      </c>
      <c r="R66" s="597">
        <f t="shared" si="109"/>
        <v>0</v>
      </c>
      <c r="S66" s="597">
        <f t="shared" si="110"/>
        <v>0</v>
      </c>
      <c r="T66" s="597">
        <f t="shared" si="111"/>
        <v>0</v>
      </c>
      <c r="U66" s="597">
        <f t="shared" si="112"/>
        <v>0</v>
      </c>
      <c r="V66" s="597">
        <f t="shared" si="113"/>
        <v>0</v>
      </c>
      <c r="W66" s="597">
        <f t="shared" si="114"/>
        <v>0</v>
      </c>
    </row>
    <row r="67" spans="1:23">
      <c r="A67" s="816"/>
      <c r="B67" s="817"/>
      <c r="C67" s="817"/>
      <c r="D67" s="817"/>
      <c r="E67" s="817"/>
      <c r="F67" s="817"/>
      <c r="G67" s="818"/>
      <c r="H67" s="819"/>
      <c r="I67" s="818"/>
      <c r="J67" s="832"/>
      <c r="K67" s="833"/>
      <c r="L67" s="597">
        <f t="shared" si="103"/>
        <v>0</v>
      </c>
      <c r="M67" s="597">
        <f t="shared" si="104"/>
        <v>0</v>
      </c>
      <c r="N67" s="597">
        <f t="shared" si="105"/>
        <v>0</v>
      </c>
      <c r="O67" s="597">
        <f t="shared" si="106"/>
        <v>0</v>
      </c>
      <c r="P67" s="597">
        <f t="shared" si="107"/>
        <v>0</v>
      </c>
      <c r="Q67" s="597">
        <f t="shared" si="108"/>
        <v>0</v>
      </c>
      <c r="R67" s="597">
        <f t="shared" si="109"/>
        <v>0</v>
      </c>
      <c r="S67" s="597">
        <f t="shared" si="110"/>
        <v>0</v>
      </c>
      <c r="T67" s="597">
        <f t="shared" si="111"/>
        <v>0</v>
      </c>
      <c r="U67" s="597">
        <f t="shared" si="112"/>
        <v>0</v>
      </c>
      <c r="V67" s="597">
        <f t="shared" si="113"/>
        <v>0</v>
      </c>
      <c r="W67" s="597">
        <f t="shared" si="114"/>
        <v>0</v>
      </c>
    </row>
    <row r="68" spans="1:23">
      <c r="A68" s="816"/>
      <c r="B68" s="817"/>
      <c r="C68" s="817"/>
      <c r="D68" s="817"/>
      <c r="E68" s="817"/>
      <c r="F68" s="817"/>
      <c r="G68" s="818"/>
      <c r="H68" s="819"/>
      <c r="I68" s="818"/>
      <c r="J68" s="832"/>
      <c r="K68" s="833"/>
      <c r="L68" s="597">
        <f t="shared" si="103"/>
        <v>0</v>
      </c>
      <c r="M68" s="597">
        <f t="shared" si="104"/>
        <v>0</v>
      </c>
      <c r="N68" s="597">
        <f t="shared" si="105"/>
        <v>0</v>
      </c>
      <c r="O68" s="597">
        <f t="shared" si="106"/>
        <v>0</v>
      </c>
      <c r="P68" s="597">
        <f t="shared" si="107"/>
        <v>0</v>
      </c>
      <c r="Q68" s="597">
        <f t="shared" si="108"/>
        <v>0</v>
      </c>
      <c r="R68" s="597">
        <f t="shared" si="109"/>
        <v>0</v>
      </c>
      <c r="S68" s="597">
        <f t="shared" si="110"/>
        <v>0</v>
      </c>
      <c r="T68" s="597">
        <f t="shared" si="111"/>
        <v>0</v>
      </c>
      <c r="U68" s="597">
        <f t="shared" si="112"/>
        <v>0</v>
      </c>
      <c r="V68" s="597">
        <f t="shared" si="113"/>
        <v>0</v>
      </c>
      <c r="W68" s="597">
        <f t="shared" si="114"/>
        <v>0</v>
      </c>
    </row>
    <row r="69" spans="1:23">
      <c r="A69" s="816"/>
      <c r="B69" s="817"/>
      <c r="C69" s="817"/>
      <c r="D69" s="817"/>
      <c r="E69" s="817"/>
      <c r="F69" s="817"/>
      <c r="G69" s="818"/>
      <c r="H69" s="819"/>
      <c r="I69" s="818"/>
      <c r="J69" s="832"/>
      <c r="K69" s="833"/>
      <c r="L69" s="597">
        <f t="shared" si="103"/>
        <v>0</v>
      </c>
      <c r="M69" s="597">
        <f t="shared" si="104"/>
        <v>0</v>
      </c>
      <c r="N69" s="597">
        <f t="shared" si="105"/>
        <v>0</v>
      </c>
      <c r="O69" s="597">
        <f t="shared" si="106"/>
        <v>0</v>
      </c>
      <c r="P69" s="597">
        <f t="shared" si="107"/>
        <v>0</v>
      </c>
      <c r="Q69" s="597">
        <f t="shared" si="108"/>
        <v>0</v>
      </c>
      <c r="R69" s="597">
        <f t="shared" si="109"/>
        <v>0</v>
      </c>
      <c r="S69" s="597">
        <f t="shared" si="110"/>
        <v>0</v>
      </c>
      <c r="T69" s="597">
        <f t="shared" si="111"/>
        <v>0</v>
      </c>
      <c r="U69" s="597">
        <f t="shared" si="112"/>
        <v>0</v>
      </c>
      <c r="V69" s="597">
        <f t="shared" si="113"/>
        <v>0</v>
      </c>
      <c r="W69" s="597">
        <f t="shared" si="114"/>
        <v>0</v>
      </c>
    </row>
    <row r="70" spans="1:23">
      <c r="A70" s="816"/>
      <c r="B70" s="817"/>
      <c r="C70" s="817"/>
      <c r="D70" s="817"/>
      <c r="E70" s="817"/>
      <c r="F70" s="817"/>
      <c r="G70" s="818"/>
      <c r="H70" s="819"/>
      <c r="I70" s="818"/>
      <c r="J70" s="832"/>
      <c r="K70" s="833"/>
      <c r="L70" s="597">
        <f t="shared" si="103"/>
        <v>0</v>
      </c>
      <c r="M70" s="597">
        <f t="shared" si="104"/>
        <v>0</v>
      </c>
      <c r="N70" s="597">
        <f t="shared" si="105"/>
        <v>0</v>
      </c>
      <c r="O70" s="597">
        <f t="shared" si="106"/>
        <v>0</v>
      </c>
      <c r="P70" s="597">
        <f t="shared" si="107"/>
        <v>0</v>
      </c>
      <c r="Q70" s="597">
        <f t="shared" si="108"/>
        <v>0</v>
      </c>
      <c r="R70" s="597">
        <f t="shared" si="109"/>
        <v>0</v>
      </c>
      <c r="S70" s="597">
        <f t="shared" si="110"/>
        <v>0</v>
      </c>
      <c r="T70" s="597">
        <f t="shared" si="111"/>
        <v>0</v>
      </c>
      <c r="U70" s="597">
        <f t="shared" si="112"/>
        <v>0</v>
      </c>
      <c r="V70" s="597">
        <f t="shared" si="113"/>
        <v>0</v>
      </c>
      <c r="W70" s="597">
        <f t="shared" si="114"/>
        <v>0</v>
      </c>
    </row>
    <row r="71" spans="1:23">
      <c r="A71" s="816"/>
      <c r="B71" s="817"/>
      <c r="C71" s="817"/>
      <c r="D71" s="817"/>
      <c r="E71" s="817"/>
      <c r="F71" s="817"/>
      <c r="G71" s="818"/>
      <c r="H71" s="819"/>
      <c r="I71" s="818"/>
      <c r="J71" s="832"/>
      <c r="K71" s="833"/>
      <c r="L71" s="597">
        <f t="shared" si="103"/>
        <v>0</v>
      </c>
      <c r="M71" s="597">
        <f t="shared" si="104"/>
        <v>0</v>
      </c>
      <c r="N71" s="597">
        <f t="shared" si="105"/>
        <v>0</v>
      </c>
      <c r="O71" s="597">
        <f t="shared" si="106"/>
        <v>0</v>
      </c>
      <c r="P71" s="597">
        <f t="shared" si="107"/>
        <v>0</v>
      </c>
      <c r="Q71" s="597">
        <f t="shared" si="108"/>
        <v>0</v>
      </c>
      <c r="R71" s="597">
        <f t="shared" si="109"/>
        <v>0</v>
      </c>
      <c r="S71" s="597">
        <f t="shared" si="110"/>
        <v>0</v>
      </c>
      <c r="T71" s="597">
        <f t="shared" si="111"/>
        <v>0</v>
      </c>
      <c r="U71" s="597">
        <f t="shared" si="112"/>
        <v>0</v>
      </c>
      <c r="V71" s="597">
        <f t="shared" si="113"/>
        <v>0</v>
      </c>
      <c r="W71" s="597">
        <f t="shared" si="114"/>
        <v>0</v>
      </c>
    </row>
    <row r="72" spans="1:23">
      <c r="A72" s="816"/>
      <c r="B72" s="817"/>
      <c r="C72" s="817"/>
      <c r="D72" s="817"/>
      <c r="E72" s="817"/>
      <c r="F72" s="817"/>
      <c r="G72" s="818"/>
      <c r="H72" s="819"/>
      <c r="I72" s="818"/>
      <c r="J72" s="832"/>
      <c r="K72" s="833"/>
      <c r="L72" s="597">
        <f t="shared" si="103"/>
        <v>0</v>
      </c>
      <c r="M72" s="597">
        <f t="shared" si="104"/>
        <v>0</v>
      </c>
      <c r="N72" s="597">
        <f t="shared" si="105"/>
        <v>0</v>
      </c>
      <c r="O72" s="597">
        <f t="shared" si="106"/>
        <v>0</v>
      </c>
      <c r="P72" s="597">
        <f t="shared" si="107"/>
        <v>0</v>
      </c>
      <c r="Q72" s="597">
        <f t="shared" si="108"/>
        <v>0</v>
      </c>
      <c r="R72" s="597">
        <f t="shared" si="109"/>
        <v>0</v>
      </c>
      <c r="S72" s="597">
        <f t="shared" si="110"/>
        <v>0</v>
      </c>
      <c r="T72" s="597">
        <f t="shared" si="111"/>
        <v>0</v>
      </c>
      <c r="U72" s="597">
        <f t="shared" si="112"/>
        <v>0</v>
      </c>
      <c r="V72" s="597">
        <f t="shared" si="113"/>
        <v>0</v>
      </c>
      <c r="W72" s="597">
        <f t="shared" si="114"/>
        <v>0</v>
      </c>
    </row>
    <row r="73" spans="1:23">
      <c r="A73" s="816"/>
      <c r="B73" s="817"/>
      <c r="C73" s="817"/>
      <c r="D73" s="817"/>
      <c r="E73" s="817"/>
      <c r="F73" s="817"/>
      <c r="G73" s="818"/>
      <c r="H73" s="819"/>
      <c r="I73" s="818"/>
      <c r="J73" s="832"/>
      <c r="K73" s="833"/>
      <c r="L73" s="597">
        <f t="shared" si="103"/>
        <v>0</v>
      </c>
      <c r="M73" s="597">
        <f t="shared" si="104"/>
        <v>0</v>
      </c>
      <c r="N73" s="597">
        <f t="shared" si="105"/>
        <v>0</v>
      </c>
      <c r="O73" s="597">
        <f t="shared" si="106"/>
        <v>0</v>
      </c>
      <c r="P73" s="597">
        <f t="shared" si="107"/>
        <v>0</v>
      </c>
      <c r="Q73" s="597">
        <f t="shared" si="108"/>
        <v>0</v>
      </c>
      <c r="R73" s="597">
        <f t="shared" si="109"/>
        <v>0</v>
      </c>
      <c r="S73" s="597">
        <f t="shared" si="110"/>
        <v>0</v>
      </c>
      <c r="T73" s="597">
        <f t="shared" si="111"/>
        <v>0</v>
      </c>
      <c r="U73" s="597">
        <f t="shared" si="112"/>
        <v>0</v>
      </c>
      <c r="V73" s="597">
        <f t="shared" si="113"/>
        <v>0</v>
      </c>
      <c r="W73" s="597">
        <f t="shared" si="114"/>
        <v>0</v>
      </c>
    </row>
    <row r="74" spans="1:23">
      <c r="A74" s="816"/>
      <c r="B74" s="817"/>
      <c r="C74" s="817"/>
      <c r="D74" s="817"/>
      <c r="E74" s="817"/>
      <c r="F74" s="817"/>
      <c r="G74" s="818"/>
      <c r="H74" s="819"/>
      <c r="I74" s="818"/>
      <c r="J74" s="832"/>
      <c r="K74" s="833"/>
      <c r="L74" s="597">
        <f t="shared" si="103"/>
        <v>0</v>
      </c>
      <c r="M74" s="597">
        <f t="shared" si="104"/>
        <v>0</v>
      </c>
      <c r="N74" s="597">
        <f t="shared" si="105"/>
        <v>0</v>
      </c>
      <c r="O74" s="597">
        <f t="shared" si="106"/>
        <v>0</v>
      </c>
      <c r="P74" s="597">
        <f t="shared" si="107"/>
        <v>0</v>
      </c>
      <c r="Q74" s="597">
        <f t="shared" si="108"/>
        <v>0</v>
      </c>
      <c r="R74" s="597">
        <f t="shared" si="109"/>
        <v>0</v>
      </c>
      <c r="S74" s="597">
        <f t="shared" si="110"/>
        <v>0</v>
      </c>
      <c r="T74" s="597">
        <f t="shared" si="111"/>
        <v>0</v>
      </c>
      <c r="U74" s="597">
        <f t="shared" si="112"/>
        <v>0</v>
      </c>
      <c r="V74" s="597">
        <f t="shared" si="113"/>
        <v>0</v>
      </c>
      <c r="W74" s="597">
        <f t="shared" si="114"/>
        <v>0</v>
      </c>
    </row>
    <row r="75" spans="1:23">
      <c r="A75" s="816"/>
      <c r="B75" s="817"/>
      <c r="C75" s="817"/>
      <c r="D75" s="817"/>
      <c r="E75" s="817"/>
      <c r="F75" s="817"/>
      <c r="G75" s="818"/>
      <c r="H75" s="819"/>
      <c r="I75" s="818"/>
      <c r="J75" s="832"/>
      <c r="K75" s="833"/>
      <c r="L75" s="597">
        <f t="shared" si="103"/>
        <v>0</v>
      </c>
      <c r="M75" s="597">
        <f t="shared" si="104"/>
        <v>0</v>
      </c>
      <c r="N75" s="597">
        <f t="shared" si="105"/>
        <v>0</v>
      </c>
      <c r="O75" s="597">
        <f t="shared" si="106"/>
        <v>0</v>
      </c>
      <c r="P75" s="597">
        <f t="shared" si="107"/>
        <v>0</v>
      </c>
      <c r="Q75" s="597">
        <f t="shared" si="108"/>
        <v>0</v>
      </c>
      <c r="R75" s="597">
        <f t="shared" si="109"/>
        <v>0</v>
      </c>
      <c r="S75" s="597">
        <f t="shared" si="110"/>
        <v>0</v>
      </c>
      <c r="T75" s="597">
        <f t="shared" si="111"/>
        <v>0</v>
      </c>
      <c r="U75" s="597">
        <f t="shared" si="112"/>
        <v>0</v>
      </c>
      <c r="V75" s="597">
        <f t="shared" si="113"/>
        <v>0</v>
      </c>
      <c r="W75" s="597">
        <f t="shared" si="114"/>
        <v>0</v>
      </c>
    </row>
    <row r="76" spans="1:23">
      <c r="A76" s="816"/>
      <c r="B76" s="817"/>
      <c r="C76" s="817"/>
      <c r="D76" s="817"/>
      <c r="E76" s="817"/>
      <c r="F76" s="817"/>
      <c r="G76" s="818"/>
      <c r="H76" s="819"/>
      <c r="I76" s="818"/>
      <c r="J76" s="832"/>
      <c r="K76" s="833"/>
      <c r="L76" s="597">
        <f t="shared" si="103"/>
        <v>0</v>
      </c>
      <c r="M76" s="597">
        <f t="shared" si="104"/>
        <v>0</v>
      </c>
      <c r="N76" s="597">
        <f t="shared" si="105"/>
        <v>0</v>
      </c>
      <c r="O76" s="597">
        <f t="shared" si="106"/>
        <v>0</v>
      </c>
      <c r="P76" s="597">
        <f t="shared" si="107"/>
        <v>0</v>
      </c>
      <c r="Q76" s="597">
        <f t="shared" si="108"/>
        <v>0</v>
      </c>
      <c r="R76" s="597">
        <f t="shared" si="109"/>
        <v>0</v>
      </c>
      <c r="S76" s="597">
        <f t="shared" si="110"/>
        <v>0</v>
      </c>
      <c r="T76" s="597">
        <f t="shared" si="111"/>
        <v>0</v>
      </c>
      <c r="U76" s="597">
        <f t="shared" si="112"/>
        <v>0</v>
      </c>
      <c r="V76" s="597">
        <f t="shared" si="113"/>
        <v>0</v>
      </c>
      <c r="W76" s="597">
        <f t="shared" si="114"/>
        <v>0</v>
      </c>
    </row>
    <row r="77" spans="1:23">
      <c r="A77" s="816"/>
      <c r="B77" s="817"/>
      <c r="C77" s="817"/>
      <c r="D77" s="817"/>
      <c r="E77" s="817"/>
      <c r="F77" s="817"/>
      <c r="G77" s="818"/>
      <c r="H77" s="819"/>
      <c r="I77" s="818"/>
      <c r="J77" s="832"/>
      <c r="K77" s="833"/>
      <c r="L77" s="597">
        <f t="shared" si="103"/>
        <v>0</v>
      </c>
      <c r="M77" s="597">
        <f t="shared" si="104"/>
        <v>0</v>
      </c>
      <c r="N77" s="597">
        <f t="shared" si="105"/>
        <v>0</v>
      </c>
      <c r="O77" s="597">
        <f t="shared" si="106"/>
        <v>0</v>
      </c>
      <c r="P77" s="597">
        <f t="shared" si="107"/>
        <v>0</v>
      </c>
      <c r="Q77" s="597">
        <f t="shared" si="108"/>
        <v>0</v>
      </c>
      <c r="R77" s="597">
        <f t="shared" si="109"/>
        <v>0</v>
      </c>
      <c r="S77" s="597">
        <f t="shared" si="110"/>
        <v>0</v>
      </c>
      <c r="T77" s="597">
        <f t="shared" si="111"/>
        <v>0</v>
      </c>
      <c r="U77" s="597">
        <f t="shared" si="112"/>
        <v>0</v>
      </c>
      <c r="V77" s="597">
        <f t="shared" si="113"/>
        <v>0</v>
      </c>
      <c r="W77" s="597">
        <f t="shared" si="114"/>
        <v>0</v>
      </c>
    </row>
    <row r="78" spans="1:23">
      <c r="A78" s="816"/>
      <c r="B78" s="817"/>
      <c r="C78" s="817"/>
      <c r="D78" s="817"/>
      <c r="E78" s="817"/>
      <c r="F78" s="817"/>
      <c r="G78" s="818"/>
      <c r="H78" s="819"/>
      <c r="I78" s="818"/>
      <c r="J78" s="832"/>
      <c r="K78" s="833"/>
      <c r="L78" s="597">
        <f t="shared" si="103"/>
        <v>0</v>
      </c>
      <c r="M78" s="597">
        <f t="shared" si="104"/>
        <v>0</v>
      </c>
      <c r="N78" s="597">
        <f t="shared" si="105"/>
        <v>0</v>
      </c>
      <c r="O78" s="597">
        <f t="shared" si="106"/>
        <v>0</v>
      </c>
      <c r="P78" s="597">
        <f t="shared" si="107"/>
        <v>0</v>
      </c>
      <c r="Q78" s="597">
        <f t="shared" si="108"/>
        <v>0</v>
      </c>
      <c r="R78" s="597">
        <f t="shared" si="109"/>
        <v>0</v>
      </c>
      <c r="S78" s="597">
        <f t="shared" si="110"/>
        <v>0</v>
      </c>
      <c r="T78" s="597">
        <f t="shared" si="111"/>
        <v>0</v>
      </c>
      <c r="U78" s="597">
        <f t="shared" si="112"/>
        <v>0</v>
      </c>
      <c r="V78" s="597">
        <f t="shared" si="113"/>
        <v>0</v>
      </c>
      <c r="W78" s="597">
        <f t="shared" si="114"/>
        <v>0</v>
      </c>
    </row>
    <row r="79" spans="1:23">
      <c r="A79" s="816"/>
      <c r="B79" s="817"/>
      <c r="C79" s="817"/>
      <c r="D79" s="817"/>
      <c r="E79" s="817"/>
      <c r="F79" s="817"/>
      <c r="G79" s="818"/>
      <c r="H79" s="819"/>
      <c r="I79" s="818"/>
      <c r="J79" s="832"/>
      <c r="K79" s="833"/>
      <c r="L79" s="597">
        <f t="shared" si="103"/>
        <v>0</v>
      </c>
      <c r="M79" s="597">
        <f t="shared" si="104"/>
        <v>0</v>
      </c>
      <c r="N79" s="597">
        <f t="shared" si="105"/>
        <v>0</v>
      </c>
      <c r="O79" s="597">
        <f t="shared" si="106"/>
        <v>0</v>
      </c>
      <c r="P79" s="597">
        <f t="shared" si="107"/>
        <v>0</v>
      </c>
      <c r="Q79" s="597">
        <f t="shared" si="108"/>
        <v>0</v>
      </c>
      <c r="R79" s="597">
        <f t="shared" si="109"/>
        <v>0</v>
      </c>
      <c r="S79" s="597">
        <f t="shared" si="110"/>
        <v>0</v>
      </c>
      <c r="T79" s="597">
        <f t="shared" si="111"/>
        <v>0</v>
      </c>
      <c r="U79" s="597">
        <f t="shared" si="112"/>
        <v>0</v>
      </c>
      <c r="V79" s="597">
        <f t="shared" si="113"/>
        <v>0</v>
      </c>
      <c r="W79" s="597">
        <f t="shared" si="114"/>
        <v>0</v>
      </c>
    </row>
    <row r="80" spans="1:23">
      <c r="A80" s="816"/>
      <c r="B80" s="817"/>
      <c r="C80" s="817"/>
      <c r="D80" s="817"/>
      <c r="E80" s="817"/>
      <c r="F80" s="817"/>
      <c r="G80" s="818"/>
      <c r="H80" s="819"/>
      <c r="I80" s="818"/>
      <c r="J80" s="832"/>
      <c r="K80" s="833"/>
      <c r="L80" s="597">
        <f t="shared" si="103"/>
        <v>0</v>
      </c>
      <c r="M80" s="597">
        <f t="shared" si="104"/>
        <v>0</v>
      </c>
      <c r="N80" s="597">
        <f t="shared" si="105"/>
        <v>0</v>
      </c>
      <c r="O80" s="597">
        <f t="shared" si="106"/>
        <v>0</v>
      </c>
      <c r="P80" s="597">
        <f t="shared" si="107"/>
        <v>0</v>
      </c>
      <c r="Q80" s="597">
        <f t="shared" si="108"/>
        <v>0</v>
      </c>
      <c r="R80" s="597">
        <f t="shared" si="109"/>
        <v>0</v>
      </c>
      <c r="S80" s="597">
        <f t="shared" si="110"/>
        <v>0</v>
      </c>
      <c r="T80" s="597">
        <f t="shared" si="111"/>
        <v>0</v>
      </c>
      <c r="U80" s="597">
        <f t="shared" si="112"/>
        <v>0</v>
      </c>
      <c r="V80" s="597">
        <f t="shared" si="113"/>
        <v>0</v>
      </c>
      <c r="W80" s="597">
        <f t="shared" si="114"/>
        <v>0</v>
      </c>
    </row>
    <row r="81" spans="1:23">
      <c r="A81" s="816"/>
      <c r="B81" s="817"/>
      <c r="C81" s="817"/>
      <c r="D81" s="817"/>
      <c r="E81" s="817"/>
      <c r="F81" s="817"/>
      <c r="G81" s="818"/>
      <c r="H81" s="819"/>
      <c r="I81" s="818"/>
      <c r="J81" s="832"/>
      <c r="K81" s="833"/>
      <c r="L81" s="597">
        <f t="shared" si="103"/>
        <v>0</v>
      </c>
      <c r="M81" s="597">
        <f t="shared" si="104"/>
        <v>0</v>
      </c>
      <c r="N81" s="597">
        <f t="shared" si="105"/>
        <v>0</v>
      </c>
      <c r="O81" s="597">
        <f t="shared" si="106"/>
        <v>0</v>
      </c>
      <c r="P81" s="597">
        <f t="shared" si="107"/>
        <v>0</v>
      </c>
      <c r="Q81" s="597">
        <f t="shared" si="108"/>
        <v>0</v>
      </c>
      <c r="R81" s="597">
        <f t="shared" si="109"/>
        <v>0</v>
      </c>
      <c r="S81" s="597">
        <f t="shared" si="110"/>
        <v>0</v>
      </c>
      <c r="T81" s="597">
        <f t="shared" si="111"/>
        <v>0</v>
      </c>
      <c r="U81" s="597">
        <f t="shared" si="112"/>
        <v>0</v>
      </c>
      <c r="V81" s="597">
        <f t="shared" si="113"/>
        <v>0</v>
      </c>
      <c r="W81" s="597">
        <f t="shared" si="114"/>
        <v>0</v>
      </c>
    </row>
    <row r="82" spans="1:23">
      <c r="A82" s="816"/>
      <c r="B82" s="817"/>
      <c r="C82" s="817"/>
      <c r="D82" s="817"/>
      <c r="E82" s="817"/>
      <c r="F82" s="817"/>
      <c r="G82" s="818"/>
      <c r="H82" s="819"/>
      <c r="I82" s="818"/>
      <c r="J82" s="832"/>
      <c r="K82" s="833"/>
      <c r="L82" s="597">
        <f t="shared" si="103"/>
        <v>0</v>
      </c>
      <c r="M82" s="597">
        <f t="shared" si="104"/>
        <v>0</v>
      </c>
      <c r="N82" s="597">
        <f t="shared" si="105"/>
        <v>0</v>
      </c>
      <c r="O82" s="597">
        <f t="shared" si="106"/>
        <v>0</v>
      </c>
      <c r="P82" s="597">
        <f t="shared" si="107"/>
        <v>0</v>
      </c>
      <c r="Q82" s="597">
        <f t="shared" si="108"/>
        <v>0</v>
      </c>
      <c r="R82" s="597">
        <f t="shared" si="109"/>
        <v>0</v>
      </c>
      <c r="S82" s="597">
        <f t="shared" si="110"/>
        <v>0</v>
      </c>
      <c r="T82" s="597">
        <f t="shared" si="111"/>
        <v>0</v>
      </c>
      <c r="U82" s="597">
        <f t="shared" si="112"/>
        <v>0</v>
      </c>
      <c r="V82" s="597">
        <f t="shared" si="113"/>
        <v>0</v>
      </c>
      <c r="W82" s="597">
        <f t="shared" si="114"/>
        <v>0</v>
      </c>
    </row>
    <row r="83" spans="1:23">
      <c r="A83" s="816"/>
      <c r="B83" s="817"/>
      <c r="C83" s="817"/>
      <c r="D83" s="817"/>
      <c r="E83" s="817"/>
      <c r="F83" s="817"/>
      <c r="G83" s="818"/>
      <c r="H83" s="819"/>
      <c r="I83" s="818"/>
      <c r="J83" s="832"/>
      <c r="K83" s="833"/>
      <c r="L83" s="597">
        <f t="shared" si="103"/>
        <v>0</v>
      </c>
      <c r="M83" s="597">
        <f t="shared" si="104"/>
        <v>0</v>
      </c>
      <c r="N83" s="597">
        <f t="shared" si="105"/>
        <v>0</v>
      </c>
      <c r="O83" s="597">
        <f t="shared" si="106"/>
        <v>0</v>
      </c>
      <c r="P83" s="597">
        <f t="shared" si="107"/>
        <v>0</v>
      </c>
      <c r="Q83" s="597">
        <f t="shared" si="108"/>
        <v>0</v>
      </c>
      <c r="R83" s="597">
        <f t="shared" si="109"/>
        <v>0</v>
      </c>
      <c r="S83" s="597">
        <f t="shared" si="110"/>
        <v>0</v>
      </c>
      <c r="T83" s="597">
        <f t="shared" si="111"/>
        <v>0</v>
      </c>
      <c r="U83" s="597">
        <f t="shared" si="112"/>
        <v>0</v>
      </c>
      <c r="V83" s="597">
        <f t="shared" si="113"/>
        <v>0</v>
      </c>
      <c r="W83" s="597">
        <f t="shared" si="114"/>
        <v>0</v>
      </c>
    </row>
    <row r="84" spans="1:23">
      <c r="A84" s="816"/>
      <c r="B84" s="817"/>
      <c r="C84" s="817"/>
      <c r="D84" s="817"/>
      <c r="E84" s="817"/>
      <c r="F84" s="817"/>
      <c r="G84" s="818"/>
      <c r="H84" s="819"/>
      <c r="I84" s="818"/>
      <c r="J84" s="832"/>
      <c r="K84" s="833"/>
      <c r="L84" s="597">
        <f t="shared" si="103"/>
        <v>0</v>
      </c>
      <c r="M84" s="597">
        <f t="shared" si="104"/>
        <v>0</v>
      </c>
      <c r="N84" s="597">
        <f t="shared" si="105"/>
        <v>0</v>
      </c>
      <c r="O84" s="597">
        <f t="shared" si="106"/>
        <v>0</v>
      </c>
      <c r="P84" s="597">
        <f t="shared" si="107"/>
        <v>0</v>
      </c>
      <c r="Q84" s="597">
        <f t="shared" si="108"/>
        <v>0</v>
      </c>
      <c r="R84" s="597">
        <f t="shared" si="109"/>
        <v>0</v>
      </c>
      <c r="S84" s="597">
        <f t="shared" si="110"/>
        <v>0</v>
      </c>
      <c r="T84" s="597">
        <f t="shared" si="111"/>
        <v>0</v>
      </c>
      <c r="U84" s="597">
        <f t="shared" si="112"/>
        <v>0</v>
      </c>
      <c r="V84" s="597">
        <f t="shared" si="113"/>
        <v>0</v>
      </c>
      <c r="W84" s="597">
        <f t="shared" si="114"/>
        <v>0</v>
      </c>
    </row>
    <row r="85" spans="1:23">
      <c r="A85" s="816"/>
      <c r="B85" s="817"/>
      <c r="C85" s="817"/>
      <c r="D85" s="817"/>
      <c r="E85" s="817"/>
      <c r="F85" s="817"/>
      <c r="G85" s="818"/>
      <c r="H85" s="819"/>
      <c r="I85" s="818"/>
      <c r="J85" s="832"/>
      <c r="K85" s="833"/>
      <c r="L85" s="597">
        <f t="shared" si="103"/>
        <v>0</v>
      </c>
      <c r="M85" s="597">
        <f t="shared" si="104"/>
        <v>0</v>
      </c>
      <c r="N85" s="597">
        <f t="shared" si="105"/>
        <v>0</v>
      </c>
      <c r="O85" s="597">
        <f t="shared" si="106"/>
        <v>0</v>
      </c>
      <c r="P85" s="597">
        <f t="shared" si="107"/>
        <v>0</v>
      </c>
      <c r="Q85" s="597">
        <f t="shared" si="108"/>
        <v>0</v>
      </c>
      <c r="R85" s="597">
        <f t="shared" si="109"/>
        <v>0</v>
      </c>
      <c r="S85" s="597">
        <f t="shared" si="110"/>
        <v>0</v>
      </c>
      <c r="T85" s="597">
        <f t="shared" si="111"/>
        <v>0</v>
      </c>
      <c r="U85" s="597">
        <f t="shared" si="112"/>
        <v>0</v>
      </c>
      <c r="V85" s="597">
        <f t="shared" si="113"/>
        <v>0</v>
      </c>
      <c r="W85" s="597">
        <f t="shared" si="114"/>
        <v>0</v>
      </c>
    </row>
    <row r="86" spans="1:23" ht="16" customHeight="1">
      <c r="A86" s="816"/>
      <c r="B86" s="817"/>
      <c r="C86" s="817"/>
      <c r="D86" s="817"/>
      <c r="E86" s="817"/>
      <c r="F86" s="817"/>
      <c r="G86" s="818"/>
      <c r="H86" s="819"/>
      <c r="I86" s="818"/>
      <c r="J86" s="832"/>
      <c r="K86" s="833"/>
      <c r="L86" s="597">
        <f t="shared" si="103"/>
        <v>0</v>
      </c>
      <c r="M86" s="597">
        <f t="shared" si="104"/>
        <v>0</v>
      </c>
      <c r="N86" s="597">
        <f t="shared" si="105"/>
        <v>0</v>
      </c>
      <c r="O86" s="597">
        <f t="shared" si="106"/>
        <v>0</v>
      </c>
      <c r="P86" s="597">
        <f t="shared" si="107"/>
        <v>0</v>
      </c>
      <c r="Q86" s="597">
        <f t="shared" si="108"/>
        <v>0</v>
      </c>
      <c r="R86" s="597">
        <f t="shared" si="109"/>
        <v>0</v>
      </c>
      <c r="S86" s="597">
        <f t="shared" si="110"/>
        <v>0</v>
      </c>
      <c r="T86" s="597">
        <f t="shared" si="111"/>
        <v>0</v>
      </c>
      <c r="U86" s="597">
        <f t="shared" si="112"/>
        <v>0</v>
      </c>
      <c r="V86" s="597">
        <f t="shared" si="113"/>
        <v>0</v>
      </c>
      <c r="W86" s="597">
        <f t="shared" si="114"/>
        <v>0</v>
      </c>
    </row>
    <row r="87" spans="1:23">
      <c r="A87" s="816"/>
      <c r="B87" s="817"/>
      <c r="C87" s="817"/>
      <c r="D87" s="817"/>
      <c r="E87" s="817"/>
      <c r="F87" s="817"/>
      <c r="G87" s="818"/>
      <c r="H87" s="819"/>
      <c r="I87" s="818"/>
      <c r="J87" s="832"/>
      <c r="K87" s="833"/>
      <c r="L87" s="597">
        <f t="shared" si="103"/>
        <v>0</v>
      </c>
      <c r="M87" s="597">
        <f t="shared" si="104"/>
        <v>0</v>
      </c>
      <c r="N87" s="597">
        <f t="shared" si="105"/>
        <v>0</v>
      </c>
      <c r="O87" s="597">
        <f t="shared" si="106"/>
        <v>0</v>
      </c>
      <c r="P87" s="597">
        <f t="shared" si="107"/>
        <v>0</v>
      </c>
      <c r="Q87" s="597">
        <f t="shared" si="108"/>
        <v>0</v>
      </c>
      <c r="R87" s="597">
        <f t="shared" si="109"/>
        <v>0</v>
      </c>
      <c r="S87" s="597">
        <f t="shared" si="110"/>
        <v>0</v>
      </c>
      <c r="T87" s="597">
        <f t="shared" si="111"/>
        <v>0</v>
      </c>
      <c r="U87" s="597">
        <f t="shared" si="112"/>
        <v>0</v>
      </c>
      <c r="V87" s="597">
        <f t="shared" si="113"/>
        <v>0</v>
      </c>
      <c r="W87" s="597">
        <f t="shared" si="114"/>
        <v>0</v>
      </c>
    </row>
    <row r="88" spans="1:23">
      <c r="A88" s="816"/>
      <c r="B88" s="817"/>
      <c r="C88" s="817"/>
      <c r="D88" s="817"/>
      <c r="E88" s="817"/>
      <c r="F88" s="817"/>
      <c r="G88" s="818"/>
      <c r="H88" s="819"/>
      <c r="I88" s="818"/>
      <c r="J88" s="832"/>
      <c r="K88" s="833"/>
      <c r="L88" s="597">
        <f t="shared" si="103"/>
        <v>0</v>
      </c>
      <c r="M88" s="597">
        <f t="shared" si="104"/>
        <v>0</v>
      </c>
      <c r="N88" s="597">
        <f t="shared" si="105"/>
        <v>0</v>
      </c>
      <c r="O88" s="597">
        <f t="shared" si="106"/>
        <v>0</v>
      </c>
      <c r="P88" s="597">
        <f t="shared" si="107"/>
        <v>0</v>
      </c>
      <c r="Q88" s="597">
        <f t="shared" si="108"/>
        <v>0</v>
      </c>
      <c r="R88" s="597">
        <f t="shared" si="109"/>
        <v>0</v>
      </c>
      <c r="S88" s="597">
        <f t="shared" si="110"/>
        <v>0</v>
      </c>
      <c r="T88" s="597">
        <f t="shared" si="111"/>
        <v>0</v>
      </c>
      <c r="U88" s="597">
        <f t="shared" si="112"/>
        <v>0</v>
      </c>
      <c r="V88" s="597">
        <f t="shared" si="113"/>
        <v>0</v>
      </c>
      <c r="W88" s="597">
        <f t="shared" si="114"/>
        <v>0</v>
      </c>
    </row>
    <row r="89" spans="1:23">
      <c r="A89" s="816"/>
      <c r="B89" s="817"/>
      <c r="C89" s="817"/>
      <c r="D89" s="817"/>
      <c r="E89" s="817"/>
      <c r="F89" s="817"/>
      <c r="G89" s="818"/>
      <c r="H89" s="819"/>
      <c r="I89" s="818"/>
      <c r="J89" s="832"/>
      <c r="K89" s="833"/>
      <c r="L89" s="597">
        <f t="shared" si="103"/>
        <v>0</v>
      </c>
      <c r="M89" s="597">
        <f t="shared" si="104"/>
        <v>0</v>
      </c>
      <c r="N89" s="597">
        <f t="shared" si="105"/>
        <v>0</v>
      </c>
      <c r="O89" s="597">
        <f t="shared" si="106"/>
        <v>0</v>
      </c>
      <c r="P89" s="597">
        <f t="shared" si="107"/>
        <v>0</v>
      </c>
      <c r="Q89" s="597">
        <f t="shared" si="108"/>
        <v>0</v>
      </c>
      <c r="R89" s="597">
        <f t="shared" si="109"/>
        <v>0</v>
      </c>
      <c r="S89" s="597">
        <f t="shared" si="110"/>
        <v>0</v>
      </c>
      <c r="T89" s="597">
        <f t="shared" si="111"/>
        <v>0</v>
      </c>
      <c r="U89" s="597">
        <f t="shared" si="112"/>
        <v>0</v>
      </c>
      <c r="V89" s="597">
        <f t="shared" si="113"/>
        <v>0</v>
      </c>
      <c r="W89" s="597">
        <f t="shared" si="114"/>
        <v>0</v>
      </c>
    </row>
    <row r="90" spans="1:23">
      <c r="A90" s="816"/>
      <c r="B90" s="817"/>
      <c r="C90" s="817"/>
      <c r="D90" s="817"/>
      <c r="E90" s="817"/>
      <c r="F90" s="817"/>
      <c r="G90" s="818"/>
      <c r="H90" s="819"/>
      <c r="I90" s="818"/>
      <c r="J90" s="832"/>
      <c r="K90" s="833"/>
      <c r="L90" s="597">
        <f t="shared" si="103"/>
        <v>0</v>
      </c>
      <c r="M90" s="597">
        <f t="shared" si="104"/>
        <v>0</v>
      </c>
      <c r="N90" s="597">
        <f t="shared" si="105"/>
        <v>0</v>
      </c>
      <c r="O90" s="597">
        <f t="shared" si="106"/>
        <v>0</v>
      </c>
      <c r="P90" s="597">
        <f t="shared" si="107"/>
        <v>0</v>
      </c>
      <c r="Q90" s="597">
        <f t="shared" si="108"/>
        <v>0</v>
      </c>
      <c r="R90" s="597">
        <f t="shared" si="109"/>
        <v>0</v>
      </c>
      <c r="S90" s="597">
        <f t="shared" si="110"/>
        <v>0</v>
      </c>
      <c r="T90" s="597">
        <f t="shared" si="111"/>
        <v>0</v>
      </c>
      <c r="U90" s="597">
        <f t="shared" si="112"/>
        <v>0</v>
      </c>
      <c r="V90" s="597">
        <f t="shared" si="113"/>
        <v>0</v>
      </c>
      <c r="W90" s="597">
        <f t="shared" si="114"/>
        <v>0</v>
      </c>
    </row>
    <row r="91" spans="1:23">
      <c r="A91" s="816"/>
      <c r="B91" s="817"/>
      <c r="C91" s="817"/>
      <c r="D91" s="817"/>
      <c r="E91" s="817"/>
      <c r="F91" s="817"/>
      <c r="G91" s="818"/>
      <c r="H91" s="819"/>
      <c r="I91" s="818"/>
      <c r="J91" s="832"/>
      <c r="K91" s="833"/>
      <c r="L91" s="597">
        <f t="shared" si="103"/>
        <v>0</v>
      </c>
      <c r="M91" s="597">
        <f t="shared" si="104"/>
        <v>0</v>
      </c>
      <c r="N91" s="597">
        <f t="shared" si="105"/>
        <v>0</v>
      </c>
      <c r="O91" s="597">
        <f t="shared" si="106"/>
        <v>0</v>
      </c>
      <c r="P91" s="597">
        <f t="shared" si="107"/>
        <v>0</v>
      </c>
      <c r="Q91" s="597">
        <f t="shared" si="108"/>
        <v>0</v>
      </c>
      <c r="R91" s="597">
        <f t="shared" si="109"/>
        <v>0</v>
      </c>
      <c r="S91" s="597">
        <f t="shared" si="110"/>
        <v>0</v>
      </c>
      <c r="T91" s="597">
        <f t="shared" si="111"/>
        <v>0</v>
      </c>
      <c r="U91" s="597">
        <f t="shared" si="112"/>
        <v>0</v>
      </c>
      <c r="V91" s="597">
        <f t="shared" si="113"/>
        <v>0</v>
      </c>
      <c r="W91" s="597">
        <f t="shared" si="114"/>
        <v>0</v>
      </c>
    </row>
    <row r="92" spans="1:23">
      <c r="A92" s="816"/>
      <c r="B92" s="817"/>
      <c r="C92" s="817"/>
      <c r="D92" s="817"/>
      <c r="E92" s="817"/>
      <c r="F92" s="817"/>
      <c r="G92" s="818"/>
      <c r="H92" s="819"/>
      <c r="I92" s="818"/>
      <c r="J92" s="832"/>
      <c r="K92" s="833"/>
      <c r="L92" s="597">
        <f t="shared" si="103"/>
        <v>0</v>
      </c>
      <c r="M92" s="597">
        <f t="shared" si="104"/>
        <v>0</v>
      </c>
      <c r="N92" s="597">
        <f t="shared" si="105"/>
        <v>0</v>
      </c>
      <c r="O92" s="597">
        <f t="shared" si="106"/>
        <v>0</v>
      </c>
      <c r="P92" s="597">
        <f t="shared" si="107"/>
        <v>0</v>
      </c>
      <c r="Q92" s="597">
        <f t="shared" si="108"/>
        <v>0</v>
      </c>
      <c r="R92" s="597">
        <f t="shared" si="109"/>
        <v>0</v>
      </c>
      <c r="S92" s="597">
        <f t="shared" si="110"/>
        <v>0</v>
      </c>
      <c r="T92" s="597">
        <f t="shared" si="111"/>
        <v>0</v>
      </c>
      <c r="U92" s="597">
        <f t="shared" si="112"/>
        <v>0</v>
      </c>
      <c r="V92" s="597">
        <f t="shared" si="113"/>
        <v>0</v>
      </c>
      <c r="W92" s="597">
        <f t="shared" si="114"/>
        <v>0</v>
      </c>
    </row>
    <row r="93" spans="1:23">
      <c r="A93" s="816"/>
      <c r="B93" s="817"/>
      <c r="C93" s="817"/>
      <c r="D93" s="817"/>
      <c r="E93" s="817"/>
      <c r="F93" s="817"/>
      <c r="G93" s="818"/>
      <c r="H93" s="819"/>
      <c r="I93" s="818"/>
      <c r="J93" s="832"/>
      <c r="K93" s="833"/>
      <c r="L93" s="597">
        <f t="shared" si="103"/>
        <v>0</v>
      </c>
      <c r="M93" s="597">
        <f t="shared" si="104"/>
        <v>0</v>
      </c>
      <c r="N93" s="597">
        <f t="shared" si="105"/>
        <v>0</v>
      </c>
      <c r="O93" s="597">
        <f t="shared" si="106"/>
        <v>0</v>
      </c>
      <c r="P93" s="597">
        <f t="shared" si="107"/>
        <v>0</v>
      </c>
      <c r="Q93" s="597">
        <f t="shared" si="108"/>
        <v>0</v>
      </c>
      <c r="R93" s="597">
        <f t="shared" si="109"/>
        <v>0</v>
      </c>
      <c r="S93" s="597">
        <f t="shared" si="110"/>
        <v>0</v>
      </c>
      <c r="T93" s="597">
        <f t="shared" si="111"/>
        <v>0</v>
      </c>
      <c r="U93" s="597">
        <f t="shared" si="112"/>
        <v>0</v>
      </c>
      <c r="V93" s="597">
        <f t="shared" si="113"/>
        <v>0</v>
      </c>
      <c r="W93" s="597">
        <f t="shared" si="114"/>
        <v>0</v>
      </c>
    </row>
    <row r="94" spans="1:23">
      <c r="A94" s="816"/>
      <c r="B94" s="817"/>
      <c r="C94" s="817"/>
      <c r="D94" s="817"/>
      <c r="E94" s="817"/>
      <c r="F94" s="817"/>
      <c r="G94" s="818"/>
      <c r="H94" s="819"/>
      <c r="I94" s="818"/>
      <c r="J94" s="832"/>
      <c r="K94" s="833"/>
      <c r="L94" s="597">
        <f t="shared" si="103"/>
        <v>0</v>
      </c>
      <c r="M94" s="597">
        <f t="shared" si="104"/>
        <v>0</v>
      </c>
      <c r="N94" s="597">
        <f t="shared" si="105"/>
        <v>0</v>
      </c>
      <c r="O94" s="597">
        <f t="shared" si="106"/>
        <v>0</v>
      </c>
      <c r="P94" s="597">
        <f t="shared" si="107"/>
        <v>0</v>
      </c>
      <c r="Q94" s="597">
        <f t="shared" si="108"/>
        <v>0</v>
      </c>
      <c r="R94" s="597">
        <f t="shared" si="109"/>
        <v>0</v>
      </c>
      <c r="S94" s="597">
        <f t="shared" si="110"/>
        <v>0</v>
      </c>
      <c r="T94" s="597">
        <f t="shared" si="111"/>
        <v>0</v>
      </c>
      <c r="U94" s="597">
        <f t="shared" si="112"/>
        <v>0</v>
      </c>
      <c r="V94" s="597">
        <f t="shared" si="113"/>
        <v>0</v>
      </c>
      <c r="W94" s="597">
        <f t="shared" si="114"/>
        <v>0</v>
      </c>
    </row>
    <row r="95" spans="1:23">
      <c r="A95" s="816"/>
      <c r="B95" s="817"/>
      <c r="C95" s="817"/>
      <c r="D95" s="817"/>
      <c r="E95" s="817"/>
      <c r="F95" s="817"/>
      <c r="G95" s="818"/>
      <c r="H95" s="819"/>
      <c r="I95" s="818"/>
      <c r="J95" s="832"/>
      <c r="K95" s="833"/>
      <c r="L95" s="597">
        <f t="shared" si="103"/>
        <v>0</v>
      </c>
      <c r="M95" s="597">
        <f t="shared" si="104"/>
        <v>0</v>
      </c>
      <c r="N95" s="597">
        <f t="shared" si="105"/>
        <v>0</v>
      </c>
      <c r="O95" s="597">
        <f t="shared" si="106"/>
        <v>0</v>
      </c>
      <c r="P95" s="597">
        <f t="shared" si="107"/>
        <v>0</v>
      </c>
      <c r="Q95" s="597">
        <f t="shared" si="108"/>
        <v>0</v>
      </c>
      <c r="R95" s="597">
        <f t="shared" si="109"/>
        <v>0</v>
      </c>
      <c r="S95" s="597">
        <f t="shared" si="110"/>
        <v>0</v>
      </c>
      <c r="T95" s="597">
        <f t="shared" si="111"/>
        <v>0</v>
      </c>
      <c r="U95" s="597">
        <f t="shared" si="112"/>
        <v>0</v>
      </c>
      <c r="V95" s="597">
        <f t="shared" si="113"/>
        <v>0</v>
      </c>
      <c r="W95" s="597">
        <f t="shared" si="114"/>
        <v>0</v>
      </c>
    </row>
    <row r="96" spans="1:23">
      <c r="A96" s="816"/>
      <c r="B96" s="817"/>
      <c r="C96" s="817"/>
      <c r="D96" s="817"/>
      <c r="E96" s="817"/>
      <c r="F96" s="817"/>
      <c r="G96" s="818"/>
      <c r="H96" s="819"/>
      <c r="I96" s="818"/>
      <c r="J96" s="832"/>
      <c r="K96" s="833"/>
      <c r="L96" s="597">
        <f t="shared" si="103"/>
        <v>0</v>
      </c>
      <c r="M96" s="597">
        <f t="shared" si="104"/>
        <v>0</v>
      </c>
      <c r="N96" s="597">
        <f t="shared" si="105"/>
        <v>0</v>
      </c>
      <c r="O96" s="597">
        <f t="shared" si="106"/>
        <v>0</v>
      </c>
      <c r="P96" s="597">
        <f t="shared" si="107"/>
        <v>0</v>
      </c>
      <c r="Q96" s="597">
        <f t="shared" si="108"/>
        <v>0</v>
      </c>
      <c r="R96" s="597">
        <f t="shared" si="109"/>
        <v>0</v>
      </c>
      <c r="S96" s="597">
        <f t="shared" si="110"/>
        <v>0</v>
      </c>
      <c r="T96" s="597">
        <f t="shared" si="111"/>
        <v>0</v>
      </c>
      <c r="U96" s="597">
        <f t="shared" si="112"/>
        <v>0</v>
      </c>
      <c r="V96" s="597">
        <f t="shared" si="113"/>
        <v>0</v>
      </c>
      <c r="W96" s="597">
        <f t="shared" si="114"/>
        <v>0</v>
      </c>
    </row>
    <row r="97" spans="1:23" ht="17" thickBot="1">
      <c r="A97" s="816"/>
      <c r="B97" s="817"/>
      <c r="C97" s="817"/>
      <c r="D97" s="817"/>
      <c r="E97" s="817"/>
      <c r="F97" s="817"/>
      <c r="G97" s="818"/>
      <c r="H97" s="819"/>
      <c r="I97" s="818"/>
      <c r="J97" s="832"/>
      <c r="K97" s="833"/>
      <c r="L97" s="597">
        <f t="shared" si="103"/>
        <v>0</v>
      </c>
      <c r="M97" s="597">
        <f t="shared" si="104"/>
        <v>0</v>
      </c>
      <c r="N97" s="597">
        <f t="shared" si="105"/>
        <v>0</v>
      </c>
      <c r="O97" s="597">
        <f t="shared" si="106"/>
        <v>0</v>
      </c>
      <c r="P97" s="597">
        <f t="shared" si="107"/>
        <v>0</v>
      </c>
      <c r="Q97" s="597">
        <f t="shared" si="108"/>
        <v>0</v>
      </c>
      <c r="R97" s="597">
        <f t="shared" si="109"/>
        <v>0</v>
      </c>
      <c r="S97" s="597">
        <f t="shared" si="110"/>
        <v>0</v>
      </c>
      <c r="T97" s="597">
        <f t="shared" si="111"/>
        <v>0</v>
      </c>
      <c r="U97" s="597">
        <f t="shared" si="112"/>
        <v>0</v>
      </c>
      <c r="V97" s="597">
        <f t="shared" si="113"/>
        <v>0</v>
      </c>
      <c r="W97" s="597">
        <f t="shared" si="114"/>
        <v>0</v>
      </c>
    </row>
    <row r="98" spans="1:23" ht="16" customHeight="1" thickBot="1">
      <c r="A98" s="213" t="s">
        <v>123</v>
      </c>
      <c r="B98" s="214"/>
      <c r="C98" s="214"/>
      <c r="D98" s="214"/>
      <c r="E98" s="214"/>
      <c r="F98" s="214"/>
      <c r="G98" s="214"/>
      <c r="H98" s="214"/>
      <c r="I98" s="215"/>
      <c r="J98" s="834">
        <f>SUM(J58:J97)</f>
        <v>0</v>
      </c>
      <c r="K98" s="835"/>
      <c r="L98" s="597">
        <f>SUM(L58:L97)</f>
        <v>0</v>
      </c>
      <c r="M98" s="597">
        <f t="shared" ref="M98:W98" si="115">SUM(M58:M97)</f>
        <v>0</v>
      </c>
      <c r="N98" s="597">
        <f t="shared" si="115"/>
        <v>0</v>
      </c>
      <c r="O98" s="597">
        <f t="shared" si="115"/>
        <v>0</v>
      </c>
      <c r="P98" s="597">
        <f t="shared" si="115"/>
        <v>0</v>
      </c>
      <c r="Q98" s="597">
        <f t="shared" si="115"/>
        <v>0</v>
      </c>
      <c r="R98" s="597">
        <f t="shared" si="115"/>
        <v>0</v>
      </c>
      <c r="S98" s="597">
        <f t="shared" si="115"/>
        <v>0</v>
      </c>
      <c r="T98" s="597">
        <f t="shared" si="115"/>
        <v>0</v>
      </c>
      <c r="U98" s="597">
        <f t="shared" si="115"/>
        <v>0</v>
      </c>
      <c r="V98" s="597">
        <f t="shared" si="115"/>
        <v>0</v>
      </c>
      <c r="W98" s="597">
        <f t="shared" si="115"/>
        <v>0</v>
      </c>
    </row>
    <row r="99" spans="1:23" ht="16" customHeight="1">
      <c r="A99" s="711"/>
      <c r="B99" s="711"/>
      <c r="C99" s="824" t="s">
        <v>288</v>
      </c>
      <c r="D99" s="824"/>
      <c r="E99" s="824"/>
      <c r="F99" s="824"/>
      <c r="G99" s="824"/>
      <c r="H99" s="824"/>
      <c r="I99" s="824"/>
      <c r="J99" s="824"/>
      <c r="K99" s="386"/>
      <c r="L99" s="386"/>
      <c r="M99" s="386"/>
      <c r="N99" s="386"/>
      <c r="O99" s="386"/>
      <c r="P99" s="386"/>
      <c r="Q99" s="386"/>
      <c r="R99" s="386"/>
      <c r="S99" s="386"/>
      <c r="T99" s="386"/>
      <c r="U99" s="386"/>
      <c r="V99" s="386"/>
      <c r="W99" s="386"/>
    </row>
    <row r="100" spans="1:23" ht="16" customHeight="1">
      <c r="A100" s="711"/>
      <c r="B100" s="711"/>
      <c r="C100" s="824"/>
      <c r="D100" s="824"/>
      <c r="E100" s="824"/>
      <c r="F100" s="824"/>
      <c r="G100" s="824"/>
      <c r="H100" s="824"/>
      <c r="I100" s="824"/>
      <c r="J100" s="824"/>
      <c r="K100" s="386"/>
      <c r="L100" s="386"/>
      <c r="M100" s="386"/>
      <c r="N100" s="386"/>
      <c r="O100" s="386"/>
      <c r="P100" s="386"/>
      <c r="Q100" s="386"/>
      <c r="R100" s="386"/>
      <c r="S100" s="386"/>
      <c r="T100" s="386"/>
      <c r="U100" s="386"/>
      <c r="V100" s="386"/>
      <c r="W100" s="386"/>
    </row>
    <row r="101" spans="1:23" ht="16" customHeight="1">
      <c r="A101" s="711"/>
      <c r="B101" s="711"/>
      <c r="C101" s="824"/>
      <c r="D101" s="824"/>
      <c r="E101" s="824"/>
      <c r="F101" s="824"/>
      <c r="G101" s="824"/>
      <c r="H101" s="824"/>
      <c r="I101" s="824"/>
      <c r="J101" s="824"/>
      <c r="K101" s="386"/>
      <c r="L101" s="386"/>
      <c r="M101" s="386"/>
      <c r="N101" s="386"/>
      <c r="O101" s="386"/>
      <c r="P101" s="386"/>
      <c r="Q101" s="386"/>
      <c r="R101" s="386"/>
      <c r="S101" s="386"/>
      <c r="T101" s="386"/>
      <c r="U101" s="386"/>
      <c r="V101" s="386"/>
      <c r="W101" s="386"/>
    </row>
    <row r="102" spans="1:23" ht="16" customHeight="1">
      <c r="A102" s="711"/>
      <c r="B102" s="711"/>
      <c r="C102" s="824"/>
      <c r="D102" s="824"/>
      <c r="E102" s="824"/>
      <c r="F102" s="824"/>
      <c r="G102" s="824"/>
      <c r="H102" s="824"/>
      <c r="I102" s="824"/>
      <c r="J102" s="824"/>
    </row>
    <row r="103" spans="1:23" ht="19" customHeight="1">
      <c r="A103" s="711"/>
      <c r="B103" s="711"/>
      <c r="C103" s="824"/>
      <c r="D103" s="824"/>
      <c r="E103" s="824"/>
      <c r="F103" s="824"/>
      <c r="G103" s="824"/>
      <c r="H103" s="824"/>
      <c r="I103" s="824"/>
      <c r="J103" s="824"/>
    </row>
  </sheetData>
  <sheetProtection sheet="1" objects="1" scenarios="1"/>
  <mergeCells count="261">
    <mergeCell ref="J74:K74"/>
    <mergeCell ref="J75:K75"/>
    <mergeCell ref="J76:K76"/>
    <mergeCell ref="J77:K77"/>
    <mergeCell ref="J78:K78"/>
    <mergeCell ref="J79:K79"/>
    <mergeCell ref="J80:K80"/>
    <mergeCell ref="J65:K65"/>
    <mergeCell ref="J66:K66"/>
    <mergeCell ref="J67:K67"/>
    <mergeCell ref="J68:K68"/>
    <mergeCell ref="J69:K69"/>
    <mergeCell ref="J70:K70"/>
    <mergeCell ref="J71:K71"/>
    <mergeCell ref="J72:K72"/>
    <mergeCell ref="J73:K73"/>
    <mergeCell ref="H74:I74"/>
    <mergeCell ref="H75:I75"/>
    <mergeCell ref="H76:I76"/>
    <mergeCell ref="H77:I77"/>
    <mergeCell ref="H78:I78"/>
    <mergeCell ref="H79:I79"/>
    <mergeCell ref="H80:I80"/>
    <mergeCell ref="A71:G71"/>
    <mergeCell ref="A72:G72"/>
    <mergeCell ref="A73:G73"/>
    <mergeCell ref="A74:G74"/>
    <mergeCell ref="A75:G75"/>
    <mergeCell ref="A76:G76"/>
    <mergeCell ref="A77:G77"/>
    <mergeCell ref="A78:G78"/>
    <mergeCell ref="A79:G79"/>
    <mergeCell ref="H65:I65"/>
    <mergeCell ref="H66:I66"/>
    <mergeCell ref="H67:I67"/>
    <mergeCell ref="H68:I68"/>
    <mergeCell ref="H69:I69"/>
    <mergeCell ref="H70:I70"/>
    <mergeCell ref="H71:I71"/>
    <mergeCell ref="H72:I72"/>
    <mergeCell ref="H73:I73"/>
    <mergeCell ref="J81:K81"/>
    <mergeCell ref="J82:K82"/>
    <mergeCell ref="J83:K83"/>
    <mergeCell ref="J84:K84"/>
    <mergeCell ref="J85:K85"/>
    <mergeCell ref="J86:K86"/>
    <mergeCell ref="J87:K87"/>
    <mergeCell ref="A80:G80"/>
    <mergeCell ref="J88:K88"/>
    <mergeCell ref="J98:K98"/>
    <mergeCell ref="J89:K89"/>
    <mergeCell ref="J90:K90"/>
    <mergeCell ref="J91:K91"/>
    <mergeCell ref="J92:K92"/>
    <mergeCell ref="J93:K93"/>
    <mergeCell ref="J94:K94"/>
    <mergeCell ref="J95:K95"/>
    <mergeCell ref="J96:K96"/>
    <mergeCell ref="J97:K97"/>
    <mergeCell ref="A56:K56"/>
    <mergeCell ref="J57:K57"/>
    <mergeCell ref="J58:K58"/>
    <mergeCell ref="J59:K59"/>
    <mergeCell ref="J60:K60"/>
    <mergeCell ref="J61:K61"/>
    <mergeCell ref="J62:K62"/>
    <mergeCell ref="J63:K63"/>
    <mergeCell ref="J64:K64"/>
    <mergeCell ref="R12:S12"/>
    <mergeCell ref="T12:U12"/>
    <mergeCell ref="V12:W12"/>
    <mergeCell ref="X12:Y12"/>
    <mergeCell ref="R13:S13"/>
    <mergeCell ref="T13:U13"/>
    <mergeCell ref="V13:W13"/>
    <mergeCell ref="X13:Y13"/>
    <mergeCell ref="A55:K55"/>
    <mergeCell ref="C2:T2"/>
    <mergeCell ref="C1:T1"/>
    <mergeCell ref="A99:B103"/>
    <mergeCell ref="H59:I59"/>
    <mergeCell ref="H60:I60"/>
    <mergeCell ref="H61:I61"/>
    <mergeCell ref="H62:I62"/>
    <mergeCell ref="A82:G82"/>
    <mergeCell ref="A83:G83"/>
    <mergeCell ref="A84:G84"/>
    <mergeCell ref="H82:I82"/>
    <mergeCell ref="H83:I83"/>
    <mergeCell ref="H84:I84"/>
    <mergeCell ref="A59:G59"/>
    <mergeCell ref="A60:G60"/>
    <mergeCell ref="C99:J103"/>
    <mergeCell ref="A86:G86"/>
    <mergeCell ref="H86:I86"/>
    <mergeCell ref="A64:G64"/>
    <mergeCell ref="H13:I13"/>
    <mergeCell ref="J12:K12"/>
    <mergeCell ref="J13:K13"/>
    <mergeCell ref="L12:M12"/>
    <mergeCell ref="L13:M13"/>
    <mergeCell ref="A92:G92"/>
    <mergeCell ref="H92:I92"/>
    <mergeCell ref="A96:G96"/>
    <mergeCell ref="H96:I96"/>
    <mergeCell ref="A58:G58"/>
    <mergeCell ref="A61:G61"/>
    <mergeCell ref="A62:G62"/>
    <mergeCell ref="A63:G63"/>
    <mergeCell ref="H63:I63"/>
    <mergeCell ref="H64:I64"/>
    <mergeCell ref="H81:I81"/>
    <mergeCell ref="H58:I58"/>
    <mergeCell ref="A87:G87"/>
    <mergeCell ref="A91:G91"/>
    <mergeCell ref="H91:I91"/>
    <mergeCell ref="H87:I87"/>
    <mergeCell ref="A88:G88"/>
    <mergeCell ref="H88:I88"/>
    <mergeCell ref="A65:G65"/>
    <mergeCell ref="A66:G66"/>
    <mergeCell ref="A67:G67"/>
    <mergeCell ref="A68:G68"/>
    <mergeCell ref="A69:G69"/>
    <mergeCell ref="A70:G70"/>
    <mergeCell ref="O8:AA8"/>
    <mergeCell ref="T9:W9"/>
    <mergeCell ref="X9:AA9"/>
    <mergeCell ref="T10:W10"/>
    <mergeCell ref="X10:AA10"/>
    <mergeCell ref="AQ8:BC8"/>
    <mergeCell ref="AV9:AY9"/>
    <mergeCell ref="AZ9:BC9"/>
    <mergeCell ref="AV10:AY10"/>
    <mergeCell ref="AZ10:BC10"/>
    <mergeCell ref="AC8:AO8"/>
    <mergeCell ref="AH9:AK9"/>
    <mergeCell ref="AL9:AO9"/>
    <mergeCell ref="AH10:AK10"/>
    <mergeCell ref="AL10:AO10"/>
    <mergeCell ref="A8:M8"/>
    <mergeCell ref="F10:I10"/>
    <mergeCell ref="F9:I9"/>
    <mergeCell ref="J9:M9"/>
    <mergeCell ref="J10:M10"/>
    <mergeCell ref="A11:M11"/>
    <mergeCell ref="A12:A13"/>
    <mergeCell ref="A97:G97"/>
    <mergeCell ref="H97:I97"/>
    <mergeCell ref="A93:G93"/>
    <mergeCell ref="H93:I93"/>
    <mergeCell ref="A94:G94"/>
    <mergeCell ref="H94:I94"/>
    <mergeCell ref="A95:G95"/>
    <mergeCell ref="H95:I95"/>
    <mergeCell ref="A85:G85"/>
    <mergeCell ref="H85:I85"/>
    <mergeCell ref="A89:G89"/>
    <mergeCell ref="H89:I89"/>
    <mergeCell ref="A90:G90"/>
    <mergeCell ref="H90:I90"/>
    <mergeCell ref="A57:G57"/>
    <mergeCell ref="H57:I57"/>
    <mergeCell ref="A81:G81"/>
    <mergeCell ref="Z12:AA12"/>
    <mergeCell ref="Z13:AA13"/>
    <mergeCell ref="AT12:AU12"/>
    <mergeCell ref="AV12:AW12"/>
    <mergeCell ref="AX12:AY12"/>
    <mergeCell ref="AZ12:BA12"/>
    <mergeCell ref="AC11:AO11"/>
    <mergeCell ref="AF12:AG12"/>
    <mergeCell ref="AH12:AI12"/>
    <mergeCell ref="AJ12:AK12"/>
    <mergeCell ref="AL12:AM12"/>
    <mergeCell ref="AN12:AO12"/>
    <mergeCell ref="AF13:AG13"/>
    <mergeCell ref="AH13:AI13"/>
    <mergeCell ref="AJ13:AK13"/>
    <mergeCell ref="AL13:AM13"/>
    <mergeCell ref="AN13:AO13"/>
    <mergeCell ref="BB12:BC12"/>
    <mergeCell ref="AT13:AU13"/>
    <mergeCell ref="AV13:AW13"/>
    <mergeCell ref="AX13:AY13"/>
    <mergeCell ref="AZ13:BA13"/>
    <mergeCell ref="BB13:BC13"/>
    <mergeCell ref="AQ11:BC11"/>
    <mergeCell ref="A9:E10"/>
    <mergeCell ref="O9:S10"/>
    <mergeCell ref="AC9:AG10"/>
    <mergeCell ref="AQ9:AU10"/>
    <mergeCell ref="C12:C13"/>
    <mergeCell ref="Q12:Q13"/>
    <mergeCell ref="AE12:AE13"/>
    <mergeCell ref="O11:AA11"/>
    <mergeCell ref="D13:E13"/>
    <mergeCell ref="D12:E12"/>
    <mergeCell ref="F12:G12"/>
    <mergeCell ref="F13:G13"/>
    <mergeCell ref="H12:I12"/>
    <mergeCell ref="AS12:AS13"/>
    <mergeCell ref="AQ12:AQ13"/>
    <mergeCell ref="AC12:AC13"/>
    <mergeCell ref="O12:O13"/>
    <mergeCell ref="BE8:BQ8"/>
    <mergeCell ref="BE9:BI10"/>
    <mergeCell ref="BJ9:BM9"/>
    <mergeCell ref="BN9:BQ9"/>
    <mergeCell ref="BJ10:BM10"/>
    <mergeCell ref="BN10:BQ10"/>
    <mergeCell ref="BE11:BQ11"/>
    <mergeCell ref="BE12:BE13"/>
    <mergeCell ref="BG12:BG13"/>
    <mergeCell ref="BH12:BI12"/>
    <mergeCell ref="BJ12:BK12"/>
    <mergeCell ref="BL12:BM12"/>
    <mergeCell ref="BN12:BO12"/>
    <mergeCell ref="BP12:BQ12"/>
    <mergeCell ref="BH13:BI13"/>
    <mergeCell ref="BJ13:BK13"/>
    <mergeCell ref="BL13:BM13"/>
    <mergeCell ref="BN13:BO13"/>
    <mergeCell ref="BP13:BQ13"/>
    <mergeCell ref="BS8:CE8"/>
    <mergeCell ref="BS9:BW10"/>
    <mergeCell ref="BX9:CA9"/>
    <mergeCell ref="CB9:CE9"/>
    <mergeCell ref="BX10:CA10"/>
    <mergeCell ref="CB10:CE10"/>
    <mergeCell ref="BS11:CE11"/>
    <mergeCell ref="BS12:BS13"/>
    <mergeCell ref="BU12:BU13"/>
    <mergeCell ref="BV12:BW12"/>
    <mergeCell ref="BX12:BY12"/>
    <mergeCell ref="BZ12:CA12"/>
    <mergeCell ref="CB12:CC12"/>
    <mergeCell ref="CD12:CE12"/>
    <mergeCell ref="BV13:BW13"/>
    <mergeCell ref="BX13:BY13"/>
    <mergeCell ref="BZ13:CA13"/>
    <mergeCell ref="CB13:CC13"/>
    <mergeCell ref="CD13:CE13"/>
    <mergeCell ref="A6:B6"/>
    <mergeCell ref="C6:D6"/>
    <mergeCell ref="E6:F6"/>
    <mergeCell ref="G6:H6"/>
    <mergeCell ref="A7:B7"/>
    <mergeCell ref="C7:D7"/>
    <mergeCell ref="E7:F7"/>
    <mergeCell ref="G7:H7"/>
    <mergeCell ref="A3:H3"/>
    <mergeCell ref="A4:B4"/>
    <mergeCell ref="C4:D4"/>
    <mergeCell ref="E4:F4"/>
    <mergeCell ref="G4:H4"/>
    <mergeCell ref="A5:B5"/>
    <mergeCell ref="C5:D5"/>
    <mergeCell ref="E5:F5"/>
    <mergeCell ref="G5:H5"/>
  </mergeCells>
  <phoneticPr fontId="4" type="noConversion"/>
  <conditionalFormatting sqref="E14:E41">
    <cfRule type="expression" dxfId="1574" priority="141" stopIfTrue="1">
      <formula>AND($A14&gt;0,$D14="A")</formula>
    </cfRule>
    <cfRule type="expression" dxfId="1573" priority="60">
      <formula>AND($A14&gt;0,$D14="K")</formula>
    </cfRule>
  </conditionalFormatting>
  <conditionalFormatting sqref="F14:F41">
    <cfRule type="expression" dxfId="1572" priority="113">
      <formula>OR(#REF!="Kerneopgave",)</formula>
    </cfRule>
    <cfRule type="expression" dxfId="1571" priority="112">
      <formula>OR(#REF!="Andre opgaver",)</formula>
    </cfRule>
  </conditionalFormatting>
  <conditionalFormatting sqref="G14:G41">
    <cfRule type="expression" dxfId="1570" priority="59" stopIfTrue="1">
      <formula>AND($A14&gt;0,$F14="A")</formula>
    </cfRule>
    <cfRule type="expression" dxfId="1569" priority="58">
      <formula>AND($A14&gt;0,$F14="K")</formula>
    </cfRule>
  </conditionalFormatting>
  <conditionalFormatting sqref="H14:H41">
    <cfRule type="expression" dxfId="1568" priority="111">
      <formula>OR(#REF!="Kerneopgave",)</formula>
    </cfRule>
    <cfRule type="expression" dxfId="1567" priority="110">
      <formula>OR(#REF!="Andre opgaver",)</formula>
    </cfRule>
  </conditionalFormatting>
  <conditionalFormatting sqref="H60:J85">
    <cfRule type="expression" dxfId="1566" priority="157">
      <formula>OR($B60&gt;0,)</formula>
    </cfRule>
  </conditionalFormatting>
  <conditionalFormatting sqref="H88:J97">
    <cfRule type="expression" dxfId="1565" priority="142">
      <formula>OR($B88&gt;0,)</formula>
    </cfRule>
  </conditionalFormatting>
  <conditionalFormatting sqref="H58:K97">
    <cfRule type="expression" dxfId="1564" priority="1" stopIfTrue="1">
      <formula>OR($A58&gt;0)</formula>
    </cfRule>
  </conditionalFormatting>
  <conditionalFormatting sqref="I14:I41">
    <cfRule type="expression" dxfId="1563" priority="57" stopIfTrue="1">
      <formula>AND($A14&gt;0,$H14="A")</formula>
    </cfRule>
    <cfRule type="expression" dxfId="1562" priority="56">
      <formula>AND($A14&gt;0,$H14="K")</formula>
    </cfRule>
  </conditionalFormatting>
  <conditionalFormatting sqref="J14:J41">
    <cfRule type="expression" dxfId="1561" priority="109">
      <formula>OR(#REF!="Kerneopgave",)</formula>
    </cfRule>
    <cfRule type="expression" dxfId="1560" priority="108">
      <formula>OR(#REF!="Andre opgaver",)</formula>
    </cfRule>
  </conditionalFormatting>
  <conditionalFormatting sqref="K14:K41">
    <cfRule type="expression" dxfId="1559" priority="55">
      <formula>AND($A14&gt;0,$J14="A")</formula>
    </cfRule>
    <cfRule type="expression" dxfId="1558" priority="54">
      <formula>AND($A14&gt;0,$J14="K")</formula>
    </cfRule>
  </conditionalFormatting>
  <conditionalFormatting sqref="L14:L41">
    <cfRule type="expression" dxfId="1557" priority="107">
      <formula>OR(#REF!="Kerneopgave",)</formula>
    </cfRule>
    <cfRule type="expression" dxfId="1556" priority="106">
      <formula>OR(#REF!="Andre opgaver",)</formula>
    </cfRule>
  </conditionalFormatting>
  <conditionalFormatting sqref="M14:M41">
    <cfRule type="expression" dxfId="1555" priority="53">
      <formula>AND($A14&gt;0,$L14="A")</formula>
    </cfRule>
    <cfRule type="expression" dxfId="1554" priority="52" stopIfTrue="1">
      <formula>AND($A14&gt;0,$L14="K")</formula>
    </cfRule>
  </conditionalFormatting>
  <conditionalFormatting sqref="S14:S41">
    <cfRule type="expression" dxfId="1553" priority="50" stopIfTrue="1">
      <formula>AND($O14&gt;0,$R14="K")</formula>
    </cfRule>
    <cfRule type="expression" dxfId="1552" priority="51" stopIfTrue="1">
      <formula>AND($O14&gt;0,$R14="A")</formula>
    </cfRule>
  </conditionalFormatting>
  <conditionalFormatting sqref="T14:T41">
    <cfRule type="expression" dxfId="1551" priority="104">
      <formula>OR(#REF!="Kerneopgave",)</formula>
    </cfRule>
    <cfRule type="expression" dxfId="1550" priority="103">
      <formula>OR(#REF!="Andre opgaver",)</formula>
    </cfRule>
  </conditionalFormatting>
  <conditionalFormatting sqref="U14:U41">
    <cfRule type="expression" dxfId="1549" priority="48" stopIfTrue="1">
      <formula>AND($O14&gt;0,$T14="K")</formula>
    </cfRule>
    <cfRule type="expression" dxfId="1548" priority="49">
      <formula>AND($O14&gt;0,$T14="A")</formula>
    </cfRule>
  </conditionalFormatting>
  <conditionalFormatting sqref="V14:V41">
    <cfRule type="expression" dxfId="1547" priority="101">
      <formula>OR(#REF!="Andre opgaver",)</formula>
    </cfRule>
    <cfRule type="expression" dxfId="1546" priority="102">
      <formula>OR(#REF!="Kerneopgave",)</formula>
    </cfRule>
  </conditionalFormatting>
  <conditionalFormatting sqref="W14:W41">
    <cfRule type="expression" dxfId="1545" priority="46" stopIfTrue="1">
      <formula>AND($O14&gt;0,$V14="K")</formula>
    </cfRule>
    <cfRule type="expression" dxfId="1544" priority="47" stopIfTrue="1">
      <formula>AND($O14&gt;0,$V14="A")</formula>
    </cfRule>
  </conditionalFormatting>
  <conditionalFormatting sqref="X14:X41">
    <cfRule type="expression" dxfId="1543" priority="99">
      <formula>OR(#REF!="Andre opgaver",)</formula>
    </cfRule>
    <cfRule type="expression" dxfId="1542" priority="100">
      <formula>OR(#REF!="Kerneopgave",)</formula>
    </cfRule>
  </conditionalFormatting>
  <conditionalFormatting sqref="Y14:Y41">
    <cfRule type="expression" dxfId="1541" priority="44">
      <formula>AND($O14&gt;0,$X14="K")</formula>
    </cfRule>
    <cfRule type="expression" dxfId="1540" priority="45" stopIfTrue="1">
      <formula>AND($O14&gt;0,$X14="A")</formula>
    </cfRule>
  </conditionalFormatting>
  <conditionalFormatting sqref="Z14:Z41">
    <cfRule type="expression" dxfId="1539" priority="97">
      <formula>OR(#REF!="Andre opgaver",)</formula>
    </cfRule>
    <cfRule type="expression" dxfId="1538" priority="98">
      <formula>OR(#REF!="Kerneopgave",)</formula>
    </cfRule>
  </conditionalFormatting>
  <conditionalFormatting sqref="AA14:AA41">
    <cfRule type="expression" dxfId="1537" priority="42" stopIfTrue="1">
      <formula>AND($O14&gt;0,$Z14="K")</formula>
    </cfRule>
    <cfRule type="expression" dxfId="1536" priority="43">
      <formula>AND($O14&gt;0,$Z14="A")</formula>
    </cfRule>
  </conditionalFormatting>
  <conditionalFormatting sqref="AG14:AG41">
    <cfRule type="expression" dxfId="1535" priority="40">
      <formula>AND($AC14&gt;0,$AF14="K")</formula>
    </cfRule>
    <cfRule type="expression" dxfId="1534" priority="41">
      <formula>AND($AC14&gt;0,$AF14="A")</formula>
    </cfRule>
  </conditionalFormatting>
  <conditionalFormatting sqref="AH14:AH41">
    <cfRule type="expression" dxfId="1533" priority="94">
      <formula>OR(#REF!="Andre opgaver",)</formula>
    </cfRule>
    <cfRule type="expression" dxfId="1532" priority="95">
      <formula>OR(#REF!="Kerneopgave",)</formula>
    </cfRule>
  </conditionalFormatting>
  <conditionalFormatting sqref="AI14:AI41">
    <cfRule type="expression" dxfId="1531" priority="38">
      <formula>AND($AC14&gt;0,$AH14="K")</formula>
    </cfRule>
    <cfRule type="expression" dxfId="1530" priority="39" stopIfTrue="1">
      <formula>AND($AC14&gt;0,$AH14="A")</formula>
    </cfRule>
  </conditionalFormatting>
  <conditionalFormatting sqref="AJ14:AJ41">
    <cfRule type="expression" dxfId="1529" priority="92">
      <formula>OR(#REF!="Andre opgaver",)</formula>
    </cfRule>
    <cfRule type="expression" dxfId="1528" priority="93">
      <formula>OR(#REF!="Kerneopgave",)</formula>
    </cfRule>
  </conditionalFormatting>
  <conditionalFormatting sqref="AK14:AK41">
    <cfRule type="expression" dxfId="1527" priority="36" stopIfTrue="1">
      <formula>AND($AC14&gt;0,$AJ14="K")</formula>
    </cfRule>
    <cfRule type="expression" dxfId="1526" priority="37">
      <formula>AND($AC14&gt;0,$AJ14="A")</formula>
    </cfRule>
  </conditionalFormatting>
  <conditionalFormatting sqref="AL14:AL41">
    <cfRule type="expression" dxfId="1525" priority="91">
      <formula>OR(#REF!="Kerneopgave",)</formula>
    </cfRule>
    <cfRule type="expression" dxfId="1524" priority="90">
      <formula>OR(#REF!="Andre opgaver",)</formula>
    </cfRule>
  </conditionalFormatting>
  <conditionalFormatting sqref="AM14:AM41">
    <cfRule type="expression" dxfId="1523" priority="35" stopIfTrue="1">
      <formula>AND($AC14&gt;0,$AL14="A")</formula>
    </cfRule>
    <cfRule type="expression" dxfId="1522" priority="34">
      <formula>AND($AC14&gt;0,$AL14="K")</formula>
    </cfRule>
  </conditionalFormatting>
  <conditionalFormatting sqref="AN14:AN41">
    <cfRule type="expression" dxfId="1521" priority="88">
      <formula>OR(#REF!="Andre opgaver",)</formula>
    </cfRule>
    <cfRule type="expression" dxfId="1520" priority="89">
      <formula>OR(#REF!="Kerneopgave",)</formula>
    </cfRule>
  </conditionalFormatting>
  <conditionalFormatting sqref="AO14:AO41">
    <cfRule type="expression" dxfId="1519" priority="33">
      <formula>AND($AC14&gt;0,$AN14="A")</formula>
    </cfRule>
    <cfRule type="expression" dxfId="1518" priority="32">
      <formula>AND($AC14&gt;0,$AN14="K")</formula>
    </cfRule>
  </conditionalFormatting>
  <conditionalFormatting sqref="AU14:AU41">
    <cfRule type="expression" dxfId="1517" priority="31">
      <formula>AND($AQ14&gt;0,$AT14="A")</formula>
    </cfRule>
    <cfRule type="expression" dxfId="1516" priority="30" stopIfTrue="1">
      <formula>AND($AQ14&gt;0,$AT14="K")</formula>
    </cfRule>
  </conditionalFormatting>
  <conditionalFormatting sqref="AV14:AV41">
    <cfRule type="expression" dxfId="1515" priority="85">
      <formula>OR(#REF!="Andre opgaver",)</formula>
    </cfRule>
    <cfRule type="expression" dxfId="1514" priority="86">
      <formula>OR(#REF!="Kerneopgave",)</formula>
    </cfRule>
  </conditionalFormatting>
  <conditionalFormatting sqref="AW14:AW41">
    <cfRule type="expression" dxfId="1513" priority="29" stopIfTrue="1">
      <formula>AND($AQ14&gt;0,$AV14="A")</formula>
    </cfRule>
    <cfRule type="expression" dxfId="1512" priority="28">
      <formula>AND($AQ14&gt;0,$AV14="K")</formula>
    </cfRule>
  </conditionalFormatting>
  <conditionalFormatting sqref="AX14:AX41">
    <cfRule type="expression" dxfId="1511" priority="83">
      <formula>OR(#REF!="Andre opgaver",)</formula>
    </cfRule>
    <cfRule type="expression" dxfId="1510" priority="84">
      <formula>OR(#REF!="Kerneopgave",)</formula>
    </cfRule>
  </conditionalFormatting>
  <conditionalFormatting sqref="AY14:AY41">
    <cfRule type="expression" dxfId="1509" priority="26" stopIfTrue="1">
      <formula>AND($AQ14&gt;0,$AX14="K")</formula>
    </cfRule>
    <cfRule type="expression" dxfId="1508" priority="27">
      <formula>AND($AQ14&gt;0,$AX14="A")</formula>
    </cfRule>
  </conditionalFormatting>
  <conditionalFormatting sqref="AZ14:AZ41">
    <cfRule type="expression" dxfId="1507" priority="81">
      <formula>OR(#REF!="Andre opgaver",)</formula>
    </cfRule>
    <cfRule type="expression" dxfId="1506" priority="82">
      <formula>OR(#REF!="Kerneopgave",)</formula>
    </cfRule>
  </conditionalFormatting>
  <conditionalFormatting sqref="BA14:BA41">
    <cfRule type="expression" dxfId="1505" priority="25" stopIfTrue="1">
      <formula>AND($AQ14&gt;0,$AZ14="A")</formula>
    </cfRule>
    <cfRule type="expression" dxfId="1504" priority="24" stopIfTrue="1">
      <formula>AND($AQ14&gt;0,$AZ14="K")</formula>
    </cfRule>
  </conditionalFormatting>
  <conditionalFormatting sqref="BB14:BB41">
    <cfRule type="expression" dxfId="1503" priority="79">
      <formula>OR(#REF!="Andre opgaver",)</formula>
    </cfRule>
    <cfRule type="expression" dxfId="1502" priority="80">
      <formula>OR(#REF!="Kerneopgave",)</formula>
    </cfRule>
  </conditionalFormatting>
  <conditionalFormatting sqref="BC14:BC41">
    <cfRule type="expression" dxfId="1501" priority="22">
      <formula>AND($AQ14&gt;0,$BB14="K")</formula>
    </cfRule>
    <cfRule type="expression" dxfId="1500" priority="23">
      <formula>AND($AQ14&gt;0,$BB14="A")</formula>
    </cfRule>
  </conditionalFormatting>
  <conditionalFormatting sqref="BI14:BI41">
    <cfRule type="expression" dxfId="1499" priority="20" stopIfTrue="1">
      <formula>AND($BE14&gt;0,$BH14="K")</formula>
    </cfRule>
    <cfRule type="expression" dxfId="1498" priority="21" stopIfTrue="1">
      <formula>AND($BE14&gt;0,$BH14="A")</formula>
    </cfRule>
  </conditionalFormatting>
  <conditionalFormatting sqref="BK14:BK41">
    <cfRule type="expression" dxfId="1497" priority="19">
      <formula>AND($BE14&gt;0,$BJ14="A")</formula>
    </cfRule>
    <cfRule type="expression" dxfId="1496" priority="18">
      <formula>AND($BE14&gt;0,$BJ14="K")</formula>
    </cfRule>
  </conditionalFormatting>
  <conditionalFormatting sqref="BM14:BM41">
    <cfRule type="expression" dxfId="1495" priority="17" stopIfTrue="1">
      <formula>AND($BE14&gt;0,$BL14="A")</formula>
    </cfRule>
    <cfRule type="expression" dxfId="1494" priority="16" stopIfTrue="1">
      <formula>AND($BE14&gt;0,$BL14="K")</formula>
    </cfRule>
  </conditionalFormatting>
  <conditionalFormatting sqref="BO14:BO41">
    <cfRule type="expression" dxfId="1493" priority="15">
      <formula>AND($BE14&gt;0,$BN14="A")</formula>
    </cfRule>
    <cfRule type="expression" dxfId="1492" priority="14">
      <formula>AND($BE14&gt;0,$BN14="K")</formula>
    </cfRule>
  </conditionalFormatting>
  <conditionalFormatting sqref="BQ14:BQ41">
    <cfRule type="expression" dxfId="1491" priority="13" stopIfTrue="1">
      <formula>AND($BE14&gt;0,$BP14="A")</formula>
    </cfRule>
    <cfRule type="expression" dxfId="1490" priority="12" stopIfTrue="1">
      <formula>AND($BE14&gt;0,$BP14="K")</formula>
    </cfRule>
  </conditionalFormatting>
  <conditionalFormatting sqref="BW14:BW41">
    <cfRule type="expression" dxfId="1489" priority="10">
      <formula>AND($BS14&gt;0,$BV14="K")</formula>
    </cfRule>
    <cfRule type="expression" dxfId="1488" priority="11">
      <formula>AND($BS14&gt;0,$BV14="A")</formula>
    </cfRule>
  </conditionalFormatting>
  <conditionalFormatting sqref="BY14:BY41">
    <cfRule type="expression" dxfId="1487" priority="8" stopIfTrue="1">
      <formula>AND($BS14&gt;0,$BX14="K")</formula>
    </cfRule>
    <cfRule type="expression" dxfId="1486" priority="9" stopIfTrue="1">
      <formula>AND($BS14&gt;0,$BX14="A")</formula>
    </cfRule>
  </conditionalFormatting>
  <conditionalFormatting sqref="CA14:CA41">
    <cfRule type="expression" dxfId="1485" priority="7">
      <formula>AND($BS14&gt;0,$BZ14="A")</formula>
    </cfRule>
    <cfRule type="expression" dxfId="1484" priority="6">
      <formula>AND($BS14&gt;0,$BZ14="K")</formula>
    </cfRule>
  </conditionalFormatting>
  <conditionalFormatting sqref="CC14:CC41">
    <cfRule type="expression" dxfId="1483" priority="5" stopIfTrue="1">
      <formula>AND($BS14&gt;0,$CB14="A")</formula>
    </cfRule>
    <cfRule type="expression" dxfId="1482" priority="4">
      <formula>AND($BS14&gt;0,$CB14="K")</formula>
    </cfRule>
  </conditionalFormatting>
  <conditionalFormatting sqref="CE14:CE41">
    <cfRule type="expression" dxfId="1481" priority="3">
      <formula>AND($BS14&gt;0,$CD14="A")</formula>
    </cfRule>
    <cfRule type="expression" dxfId="1480" priority="2" stopIfTrue="1">
      <formula>AND($BS14&gt;0,$CD14="K")</formula>
    </cfRule>
  </conditionalFormatting>
  <dataValidations count="3">
    <dataValidation type="list" allowBlank="1" showInputMessage="1" showErrorMessage="1" sqref="H58:I97" xr:uid="{B959E193-F64B-2646-AE0E-B939BAAB1791}">
      <formula1>$L$55:$W$55</formula1>
    </dataValidation>
    <dataValidation type="list" allowBlank="1" showInputMessage="1" showErrorMessage="1" sqref="CD14:CD41 L14:L41 H14:H41 D14:D41 F14:F41 J14:J41 Z14:Z41 V14:V41 R14:R41 T14:T41 X14:X41 AN14:AN41 AJ14:AJ41 AF14:AF41 AH14:AH41 AL14:AL41 BB14:BB41 AX14:AX41 AT14:AT41 AV14:AV41 AZ14:AZ41 BH14:BH41 BJ14:BJ41 BL14:BL41 BN14:BN41 BP14:BP41 BV14:BV41 BX14:BX41 BZ14:BZ41 CB14:CB41" xr:uid="{A1030E1D-A117-274E-A2CC-F262B2ACD4CA}">
      <formula1>$N$14:$N$15</formula1>
    </dataValidation>
    <dataValidation type="textLength" allowBlank="1" showInputMessage="1" showErrorMessage="1" sqref="S14" xr:uid="{0E8C1A50-F7AB-5E4F-994B-9DAAE61EC88C}">
      <formula1>1</formula1>
      <formula2>50</formula2>
    </dataValidation>
  </dataValidations>
  <hyperlinks>
    <hyperlink ref="G4:H4" location="Opgørelse!B12" display="Opgørelse" xr:uid="{4AA9E6F4-E556-7845-AA65-E9FEE8A92D07}"/>
    <hyperlink ref="E4:F4" location="Arbejdstidsoversigt!A19" display="Arbejdstids-oversigt" xr:uid="{03095BA7-32D2-2E40-9026-7D1CAFE90C33}"/>
    <hyperlink ref="C4:D4" location="Rul!B20" display="Rul" xr:uid="{4A69D629-51F8-354E-ADBF-4DB02E52595D}"/>
    <hyperlink ref="A4:B4" location="Stamoplysninger!E18" display="Stamoplysninger" xr:uid="{F09CF7D5-89DF-F645-A411-6AA25ED3456E}"/>
    <hyperlink ref="A5:B5" location="August!A12" display="August" xr:uid="{7D669082-E0CA-3C45-94AF-20FA1F9F1389}"/>
    <hyperlink ref="C5:D5" location="September!A8" display="September" xr:uid="{097E0ED8-B68A-D74A-930D-F010B6AF2F6F}"/>
    <hyperlink ref="E5:F5" location="Oktober!A8" display="Oktober" xr:uid="{28EF9A7F-0ABC-334A-8FD3-A69D449DF65F}"/>
    <hyperlink ref="G5:H5" location="November!A8" display="November" xr:uid="{7EB765C3-F6D1-2144-AF71-2755DEA2B6F0}"/>
    <hyperlink ref="A6:B6" location="December!A8" display="December" xr:uid="{63498E29-57E9-9B4A-ABD6-B7678214119F}"/>
    <hyperlink ref="C6:D6" location="Januar!A8" display="Januar" xr:uid="{1F093911-EA84-9A44-825E-CE1B30E96BF4}"/>
    <hyperlink ref="E6:F6" location="Februar!A8" display="Februar" xr:uid="{7ABA13D9-8420-EA49-9F64-F7080C107D96}"/>
    <hyperlink ref="A7:B7" location="April!A8" display="April" xr:uid="{451B3F8D-A1D6-B145-9DA4-192A89617F70}"/>
    <hyperlink ref="C7:D7" location="Maj!A8" display="Maj" xr:uid="{ED77F7D9-DA1F-6240-8761-B1F3E42BB29E}"/>
    <hyperlink ref="E7:F7" location="Juni!A8" display="Juni" xr:uid="{4F2DC7AF-4D84-3B4C-83BB-898C5163429E}"/>
    <hyperlink ref="G7:H7" location="Juli!A8" display="Juli" xr:uid="{33A2FA7C-D24B-1443-99C8-0D21B914C98A}"/>
    <hyperlink ref="G6:H6" location="Marts!A8" display="Marts" xr:uid="{EB472314-A550-7C42-8705-5B1FA12700AC}"/>
  </hyperlinks>
  <pageMargins left="0.7" right="0.7" top="0.75" bottom="0.75" header="0.3" footer="0.3"/>
  <pageSetup paperSize="9" scale="44" fitToWidth="8" orientation="portrait" horizontalDpi="0" verticalDpi="0"/>
  <colBreaks count="5" manualBreakCount="5">
    <brk id="13" min="7" max="92" man="1"/>
    <brk id="27" min="7" max="92" man="1"/>
    <brk id="41" min="7" max="92" man="1"/>
    <brk id="55" min="7" max="92" man="1"/>
    <brk id="69" min="7" max="92"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8259-7CCF-5945-94BF-F9BF990B89EE}">
  <sheetPr>
    <tabColor theme="4" tint="-0.249977111117893"/>
    <pageSetUpPr fitToPage="1"/>
  </sheetPr>
  <dimension ref="A1:AT57"/>
  <sheetViews>
    <sheetView showZeros="0" topLeftCell="A9" zoomScaleNormal="100" workbookViewId="0">
      <selection activeCell="K20" sqref="K20"/>
    </sheetView>
  </sheetViews>
  <sheetFormatPr baseColWidth="10" defaultRowHeight="16"/>
  <cols>
    <col min="1" max="1" width="20.5" customWidth="1"/>
    <col min="4" max="4" width="4.1640625" customWidth="1"/>
    <col min="6" max="6" width="4.1640625" customWidth="1"/>
    <col min="8" max="8" width="4.1640625" customWidth="1"/>
    <col min="10" max="10" width="4.1640625" customWidth="1"/>
    <col min="12" max="12" width="4.1640625" customWidth="1"/>
    <col min="14" max="14" width="4.1640625" customWidth="1"/>
    <col min="16" max="16" width="21.33203125" customWidth="1"/>
    <col min="20" max="20" width="12.5" bestFit="1" customWidth="1"/>
    <col min="26" max="26" width="21.33203125" customWidth="1"/>
    <col min="36" max="36" width="18.33203125" customWidth="1"/>
  </cols>
  <sheetData>
    <row r="1" spans="1:46" ht="135" customHeight="1">
      <c r="B1" s="824" t="s">
        <v>399</v>
      </c>
      <c r="C1" s="824"/>
      <c r="D1" s="824"/>
      <c r="E1" s="824"/>
      <c r="F1" s="824"/>
      <c r="G1" s="824"/>
      <c r="H1" s="824"/>
      <c r="I1" s="824"/>
      <c r="J1" s="824"/>
      <c r="K1" s="824"/>
      <c r="L1" s="824"/>
      <c r="M1" s="824"/>
      <c r="N1" s="824"/>
      <c r="O1" s="824"/>
      <c r="P1" s="639"/>
      <c r="Q1" s="639"/>
      <c r="R1" s="639"/>
      <c r="S1" s="639"/>
      <c r="T1" s="639"/>
      <c r="U1" s="639"/>
      <c r="V1" s="639"/>
      <c r="W1" s="639"/>
      <c r="X1" s="639"/>
      <c r="AT1" s="33"/>
    </row>
    <row r="2" spans="1:46" ht="58" customHeight="1">
      <c r="A2" s="612"/>
      <c r="B2" s="838" t="s">
        <v>375</v>
      </c>
      <c r="C2" s="838"/>
      <c r="D2" s="601"/>
      <c r="E2" s="839" t="s">
        <v>376</v>
      </c>
      <c r="F2" s="839"/>
      <c r="G2" s="839"/>
      <c r="H2" s="839"/>
      <c r="I2" s="839"/>
      <c r="J2" s="839"/>
      <c r="K2" s="839"/>
      <c r="L2" s="839"/>
      <c r="M2" s="839"/>
      <c r="N2" s="839"/>
      <c r="O2" s="839"/>
      <c r="P2" s="640"/>
      <c r="Q2" s="640"/>
      <c r="R2" s="640"/>
      <c r="S2" s="640"/>
      <c r="T2" s="640"/>
      <c r="U2" s="640"/>
      <c r="V2" s="640"/>
      <c r="W2" s="640"/>
      <c r="X2" s="640"/>
      <c r="AT2" s="33"/>
    </row>
    <row r="3" spans="1:46" ht="58" customHeight="1" thickBot="1">
      <c r="A3" s="735" t="s">
        <v>496</v>
      </c>
      <c r="B3" s="735"/>
      <c r="C3" s="735"/>
      <c r="D3" s="735"/>
      <c r="E3" s="735"/>
      <c r="F3" s="735"/>
      <c r="G3" s="735"/>
      <c r="H3" s="735"/>
      <c r="I3" s="685"/>
      <c r="J3" s="685"/>
      <c r="K3" s="685"/>
      <c r="L3" s="685"/>
      <c r="M3" s="685"/>
      <c r="N3" s="685"/>
      <c r="O3" s="685"/>
      <c r="P3" s="640"/>
      <c r="Q3" s="640"/>
      <c r="R3" s="640"/>
      <c r="S3" s="640"/>
      <c r="T3" s="640"/>
      <c r="U3" s="640"/>
      <c r="V3" s="640"/>
      <c r="W3" s="640"/>
      <c r="X3" s="640"/>
      <c r="AT3" s="33"/>
    </row>
    <row r="4" spans="1:46" ht="58" customHeight="1" thickBot="1">
      <c r="A4" s="751" t="s">
        <v>493</v>
      </c>
      <c r="B4" s="752"/>
      <c r="C4" s="785" t="s">
        <v>494</v>
      </c>
      <c r="D4" s="786"/>
      <c r="E4" s="731" t="s">
        <v>495</v>
      </c>
      <c r="F4" s="732"/>
      <c r="G4" s="733" t="s">
        <v>161</v>
      </c>
      <c r="H4" s="734"/>
      <c r="I4" s="685"/>
      <c r="J4" s="685"/>
      <c r="K4" s="685"/>
      <c r="L4" s="685"/>
      <c r="M4" s="685"/>
      <c r="N4" s="685"/>
      <c r="O4" s="685"/>
      <c r="P4" s="640"/>
      <c r="Q4" s="640"/>
      <c r="R4" s="640"/>
      <c r="S4" s="640"/>
      <c r="T4" s="640"/>
      <c r="U4" s="640"/>
      <c r="V4" s="640"/>
      <c r="W4" s="640"/>
      <c r="X4" s="640"/>
      <c r="AT4" s="33"/>
    </row>
    <row r="5" spans="1:46" ht="34" customHeight="1" thickBot="1">
      <c r="A5" s="730" t="s">
        <v>117</v>
      </c>
      <c r="B5" s="730"/>
      <c r="C5" s="730" t="s">
        <v>119</v>
      </c>
      <c r="D5" s="730"/>
      <c r="E5" s="730" t="s">
        <v>120</v>
      </c>
      <c r="F5" s="730"/>
      <c r="G5" s="730" t="s">
        <v>121</v>
      </c>
      <c r="H5" s="730"/>
      <c r="I5" s="685"/>
      <c r="J5" s="685"/>
      <c r="K5" s="685"/>
      <c r="L5" s="685"/>
      <c r="M5" s="685"/>
      <c r="N5" s="685"/>
      <c r="O5" s="685"/>
      <c r="P5" s="640"/>
      <c r="Q5" s="640"/>
      <c r="R5" s="640"/>
      <c r="S5" s="640"/>
      <c r="T5" s="640"/>
      <c r="U5" s="640"/>
      <c r="V5" s="640"/>
      <c r="W5" s="640"/>
      <c r="X5" s="640"/>
      <c r="AT5" s="33"/>
    </row>
    <row r="6" spans="1:46" ht="34" customHeight="1" thickBot="1">
      <c r="A6" s="730" t="s">
        <v>130</v>
      </c>
      <c r="B6" s="730"/>
      <c r="C6" s="730" t="s">
        <v>131</v>
      </c>
      <c r="D6" s="730"/>
      <c r="E6" s="730" t="s">
        <v>132</v>
      </c>
      <c r="F6" s="730"/>
      <c r="G6" s="730" t="s">
        <v>133</v>
      </c>
      <c r="H6" s="730"/>
      <c r="I6" s="685"/>
      <c r="J6" s="685"/>
      <c r="K6" s="685"/>
      <c r="L6" s="685"/>
      <c r="M6" s="685"/>
      <c r="N6" s="685"/>
      <c r="O6" s="685"/>
      <c r="P6" s="640"/>
      <c r="Q6" s="640"/>
      <c r="R6" s="640"/>
      <c r="S6" s="640"/>
      <c r="T6" s="640"/>
      <c r="U6" s="640"/>
      <c r="V6" s="640"/>
      <c r="W6" s="640"/>
      <c r="X6" s="640"/>
      <c r="AT6" s="33"/>
    </row>
    <row r="7" spans="1:46" ht="32" customHeight="1" thickBot="1">
      <c r="A7" s="730" t="s">
        <v>134</v>
      </c>
      <c r="B7" s="730"/>
      <c r="C7" s="730" t="s">
        <v>135</v>
      </c>
      <c r="D7" s="730"/>
      <c r="E7" s="730" t="s">
        <v>136</v>
      </c>
      <c r="F7" s="730"/>
      <c r="G7" s="730" t="s">
        <v>137</v>
      </c>
      <c r="H7" s="730"/>
      <c r="I7" s="685"/>
      <c r="J7" s="685"/>
      <c r="K7" s="685"/>
      <c r="L7" s="685"/>
      <c r="M7" s="685"/>
      <c r="N7" s="685"/>
      <c r="O7" s="685"/>
      <c r="P7" s="640"/>
      <c r="Q7" s="640"/>
      <c r="R7" s="640"/>
      <c r="S7" s="640"/>
      <c r="T7" s="640"/>
      <c r="U7" s="640"/>
      <c r="V7" s="640"/>
      <c r="W7" s="640"/>
      <c r="X7" s="640"/>
      <c r="AT7" s="33"/>
    </row>
    <row r="8" spans="1:46" ht="30" customHeight="1">
      <c r="A8" s="844" t="str">
        <f>"Rullende dage - "&amp;Stamoplysninger!E14&amp;""</f>
        <v xml:space="preserve">Rullende dage - </v>
      </c>
      <c r="B8" s="845"/>
      <c r="C8" s="845"/>
      <c r="D8" s="845"/>
      <c r="E8" s="845"/>
      <c r="F8" s="845"/>
      <c r="G8" s="845"/>
      <c r="H8" s="845"/>
      <c r="I8" s="845"/>
      <c r="J8" s="845"/>
      <c r="K8" s="845"/>
      <c r="L8" s="845"/>
      <c r="M8" s="845"/>
      <c r="N8" s="845"/>
      <c r="O8" s="846"/>
      <c r="R8" s="33" t="s">
        <v>106</v>
      </c>
    </row>
    <row r="9" spans="1:46" ht="69" customHeight="1" thickBot="1">
      <c r="A9" s="847" t="s">
        <v>377</v>
      </c>
      <c r="B9" s="848"/>
      <c r="C9" s="848"/>
      <c r="D9" s="848"/>
      <c r="E9" s="848"/>
      <c r="F9" s="848"/>
      <c r="G9" s="848"/>
      <c r="H9" s="848"/>
      <c r="I9" s="848"/>
      <c r="J9" s="848"/>
      <c r="K9" s="848"/>
      <c r="L9" s="848"/>
      <c r="M9" s="848"/>
      <c r="N9" s="848"/>
      <c r="O9" s="849"/>
      <c r="R9" s="33" t="s">
        <v>107</v>
      </c>
    </row>
    <row r="10" spans="1:46" ht="55" customHeight="1" thickBot="1">
      <c r="A10" s="618" t="s">
        <v>378</v>
      </c>
      <c r="B10" s="619" t="s">
        <v>55</v>
      </c>
      <c r="C10" s="850" t="s">
        <v>56</v>
      </c>
      <c r="D10" s="807" t="s">
        <v>218</v>
      </c>
      <c r="E10" s="808"/>
      <c r="F10" s="807" t="s">
        <v>219</v>
      </c>
      <c r="G10" s="808"/>
      <c r="H10" s="807" t="s">
        <v>220</v>
      </c>
      <c r="I10" s="808"/>
      <c r="J10" s="807" t="s">
        <v>221</v>
      </c>
      <c r="K10" s="808"/>
      <c r="L10" s="807" t="s">
        <v>222</v>
      </c>
      <c r="M10" s="808"/>
      <c r="N10" s="807" t="s">
        <v>223</v>
      </c>
      <c r="O10" s="808"/>
      <c r="P10" s="33"/>
      <c r="R10" s="33" t="s">
        <v>108</v>
      </c>
    </row>
    <row r="11" spans="1:46" ht="28" customHeight="1" thickBot="1">
      <c r="A11" s="642" t="s">
        <v>225</v>
      </c>
      <c r="B11" s="643"/>
      <c r="C11" s="851"/>
      <c r="D11" s="836" t="s">
        <v>398</v>
      </c>
      <c r="E11" s="837"/>
      <c r="F11" s="836" t="s">
        <v>398</v>
      </c>
      <c r="G11" s="837"/>
      <c r="H11" s="836" t="s">
        <v>398</v>
      </c>
      <c r="I11" s="837"/>
      <c r="J11" s="836" t="s">
        <v>398</v>
      </c>
      <c r="K11" s="837"/>
      <c r="L11" s="836" t="s">
        <v>398</v>
      </c>
      <c r="M11" s="837"/>
      <c r="N11" s="836" t="s">
        <v>398</v>
      </c>
      <c r="O11" s="837"/>
      <c r="P11" s="33"/>
    </row>
    <row r="12" spans="1:46" ht="33" customHeight="1">
      <c r="A12" s="620"/>
      <c r="B12" s="621" t="str">
        <f>IF(A12&gt;0,B11,"")</f>
        <v/>
      </c>
      <c r="C12" s="641" t="str">
        <f>IF(A12&gt;0,B12+A12,"")</f>
        <v/>
      </c>
      <c r="D12" s="616"/>
      <c r="E12" s="217"/>
      <c r="F12" s="616"/>
      <c r="G12" s="217"/>
      <c r="H12" s="616"/>
      <c r="I12" s="217"/>
      <c r="J12" s="616"/>
      <c r="K12" s="217"/>
      <c r="L12" s="616"/>
      <c r="M12" s="217"/>
      <c r="N12" s="616"/>
      <c r="O12" s="217"/>
      <c r="P12" s="33" t="s">
        <v>373</v>
      </c>
    </row>
    <row r="13" spans="1:46" ht="33" customHeight="1">
      <c r="A13" s="620"/>
      <c r="B13" s="31" t="str">
        <f>IF(A13&gt;0,C12,"")</f>
        <v/>
      </c>
      <c r="C13" s="615" t="str">
        <f t="shared" ref="C13:C28" si="0">IF(A13&gt;0,B13+A13,"")</f>
        <v/>
      </c>
      <c r="D13" s="616"/>
      <c r="E13" s="151"/>
      <c r="F13" s="616"/>
      <c r="G13" s="151"/>
      <c r="H13" s="616"/>
      <c r="I13" s="151"/>
      <c r="J13" s="616"/>
      <c r="K13" s="151"/>
      <c r="L13" s="616"/>
      <c r="M13" s="151"/>
      <c r="N13" s="616"/>
      <c r="O13" s="402"/>
      <c r="P13" s="33" t="s">
        <v>374</v>
      </c>
    </row>
    <row r="14" spans="1:46" ht="33" customHeight="1">
      <c r="A14" s="620"/>
      <c r="B14" s="31" t="str">
        <f t="shared" ref="B14:B28" si="1">IF(A14&gt;0,C13,"")</f>
        <v/>
      </c>
      <c r="C14" s="615" t="str">
        <f t="shared" si="0"/>
        <v/>
      </c>
      <c r="D14" s="616"/>
      <c r="E14" s="217"/>
      <c r="F14" s="616"/>
      <c r="G14" s="217"/>
      <c r="H14" s="616"/>
      <c r="I14" s="217"/>
      <c r="J14" s="616"/>
      <c r="K14" s="217"/>
      <c r="L14" s="616"/>
      <c r="M14" s="217"/>
      <c r="N14" s="616"/>
      <c r="O14" s="401"/>
      <c r="P14" s="33" t="s">
        <v>218</v>
      </c>
    </row>
    <row r="15" spans="1:46" ht="33" customHeight="1">
      <c r="A15" s="620"/>
      <c r="B15" s="31" t="str">
        <f t="shared" si="1"/>
        <v/>
      </c>
      <c r="C15" s="615" t="str">
        <f t="shared" si="0"/>
        <v/>
      </c>
      <c r="D15" s="616"/>
      <c r="E15" s="151"/>
      <c r="F15" s="616"/>
      <c r="G15" s="151"/>
      <c r="H15" s="616"/>
      <c r="I15" s="151"/>
      <c r="J15" s="616"/>
      <c r="K15" s="151"/>
      <c r="L15" s="616"/>
      <c r="M15" s="151"/>
      <c r="N15" s="616"/>
      <c r="O15" s="402"/>
      <c r="P15" s="33" t="s">
        <v>219</v>
      </c>
    </row>
    <row r="16" spans="1:46" ht="33" customHeight="1">
      <c r="A16" s="620"/>
      <c r="B16" s="31" t="str">
        <f t="shared" si="1"/>
        <v/>
      </c>
      <c r="C16" s="615" t="str">
        <f t="shared" si="0"/>
        <v/>
      </c>
      <c r="D16" s="616"/>
      <c r="E16" s="217"/>
      <c r="F16" s="616"/>
      <c r="G16" s="217"/>
      <c r="H16" s="616"/>
      <c r="I16" s="217"/>
      <c r="J16" s="616"/>
      <c r="K16" s="217"/>
      <c r="L16" s="616"/>
      <c r="M16" s="217"/>
      <c r="N16" s="616"/>
      <c r="O16" s="401"/>
      <c r="P16" s="33" t="s">
        <v>220</v>
      </c>
    </row>
    <row r="17" spans="1:16" ht="33" customHeight="1">
      <c r="A17" s="620"/>
      <c r="B17" s="31" t="str">
        <f t="shared" si="1"/>
        <v/>
      </c>
      <c r="C17" s="615" t="str">
        <f t="shared" si="0"/>
        <v/>
      </c>
      <c r="D17" s="616"/>
      <c r="E17" s="151"/>
      <c r="F17" s="616"/>
      <c r="G17" s="151"/>
      <c r="H17" s="616"/>
      <c r="I17" s="151"/>
      <c r="J17" s="616"/>
      <c r="K17" s="151"/>
      <c r="L17" s="616"/>
      <c r="M17" s="151"/>
      <c r="N17" s="616"/>
      <c r="O17" s="402"/>
      <c r="P17" s="33" t="s">
        <v>221</v>
      </c>
    </row>
    <row r="18" spans="1:16" ht="33" customHeight="1">
      <c r="A18" s="620"/>
      <c r="B18" s="31" t="str">
        <f t="shared" si="1"/>
        <v/>
      </c>
      <c r="C18" s="615" t="str">
        <f t="shared" si="0"/>
        <v/>
      </c>
      <c r="D18" s="616"/>
      <c r="E18" s="217"/>
      <c r="F18" s="616"/>
      <c r="G18" s="217"/>
      <c r="H18" s="616"/>
      <c r="I18" s="217"/>
      <c r="J18" s="616"/>
      <c r="K18" s="217"/>
      <c r="L18" s="616"/>
      <c r="M18" s="217"/>
      <c r="N18" s="616"/>
      <c r="O18" s="401"/>
      <c r="P18" s="33" t="s">
        <v>222</v>
      </c>
    </row>
    <row r="19" spans="1:16" ht="33" customHeight="1">
      <c r="A19" s="620"/>
      <c r="B19" s="31" t="str">
        <f t="shared" si="1"/>
        <v/>
      </c>
      <c r="C19" s="615" t="str">
        <f t="shared" si="0"/>
        <v/>
      </c>
      <c r="D19" s="616"/>
      <c r="E19" s="151"/>
      <c r="F19" s="616"/>
      <c r="G19" s="151"/>
      <c r="H19" s="616"/>
      <c r="I19" s="151"/>
      <c r="J19" s="616"/>
      <c r="K19" s="151"/>
      <c r="L19" s="616"/>
      <c r="M19" s="151"/>
      <c r="N19" s="616"/>
      <c r="O19" s="402"/>
      <c r="P19" s="33" t="s">
        <v>223</v>
      </c>
    </row>
    <row r="20" spans="1:16" ht="33" customHeight="1">
      <c r="A20" s="620"/>
      <c r="B20" s="31" t="str">
        <f t="shared" si="1"/>
        <v/>
      </c>
      <c r="C20" s="615" t="str">
        <f t="shared" si="0"/>
        <v/>
      </c>
      <c r="D20" s="616"/>
      <c r="E20" s="217"/>
      <c r="F20" s="616"/>
      <c r="G20" s="217"/>
      <c r="H20" s="616"/>
      <c r="I20" s="217"/>
      <c r="J20" s="616"/>
      <c r="K20" s="217"/>
      <c r="L20" s="616"/>
      <c r="M20" s="217"/>
      <c r="N20" s="616"/>
      <c r="O20" s="401"/>
    </row>
    <row r="21" spans="1:16" ht="33" customHeight="1">
      <c r="A21" s="620"/>
      <c r="B21" s="31" t="str">
        <f t="shared" si="1"/>
        <v/>
      </c>
      <c r="C21" s="615" t="str">
        <f t="shared" si="0"/>
        <v/>
      </c>
      <c r="D21" s="616"/>
      <c r="E21" s="151"/>
      <c r="F21" s="616"/>
      <c r="G21" s="151"/>
      <c r="H21" s="616"/>
      <c r="I21" s="151"/>
      <c r="J21" s="616"/>
      <c r="K21" s="151"/>
      <c r="L21" s="616"/>
      <c r="M21" s="151"/>
      <c r="N21" s="616"/>
      <c r="O21" s="402"/>
    </row>
    <row r="22" spans="1:16" ht="33" customHeight="1">
      <c r="A22" s="620"/>
      <c r="B22" s="31" t="str">
        <f t="shared" si="1"/>
        <v/>
      </c>
      <c r="C22" s="615" t="str">
        <f t="shared" si="0"/>
        <v/>
      </c>
      <c r="D22" s="616"/>
      <c r="E22" s="217"/>
      <c r="F22" s="616"/>
      <c r="G22" s="217"/>
      <c r="H22" s="616"/>
      <c r="I22" s="217"/>
      <c r="J22" s="616"/>
      <c r="K22" s="217"/>
      <c r="L22" s="616"/>
      <c r="M22" s="217"/>
      <c r="N22" s="616"/>
      <c r="O22" s="401"/>
    </row>
    <row r="23" spans="1:16" ht="33" customHeight="1">
      <c r="A23" s="620"/>
      <c r="B23" s="31" t="str">
        <f t="shared" si="1"/>
        <v/>
      </c>
      <c r="C23" s="615" t="str">
        <f t="shared" si="0"/>
        <v/>
      </c>
      <c r="D23" s="616"/>
      <c r="E23" s="151"/>
      <c r="F23" s="616"/>
      <c r="G23" s="151"/>
      <c r="H23" s="616"/>
      <c r="I23" s="151"/>
      <c r="J23" s="616"/>
      <c r="K23" s="151"/>
      <c r="L23" s="616"/>
      <c r="M23" s="151"/>
      <c r="N23" s="616"/>
      <c r="O23" s="402"/>
    </row>
    <row r="24" spans="1:16" ht="33" customHeight="1">
      <c r="A24" s="620"/>
      <c r="B24" s="31" t="str">
        <f t="shared" si="1"/>
        <v/>
      </c>
      <c r="C24" s="615" t="str">
        <f t="shared" si="0"/>
        <v/>
      </c>
      <c r="D24" s="616"/>
      <c r="E24" s="217"/>
      <c r="F24" s="616"/>
      <c r="G24" s="217"/>
      <c r="H24" s="616"/>
      <c r="I24" s="217"/>
      <c r="J24" s="616"/>
      <c r="K24" s="217"/>
      <c r="L24" s="616"/>
      <c r="M24" s="217"/>
      <c r="N24" s="616"/>
      <c r="O24" s="401"/>
    </row>
    <row r="25" spans="1:16" ht="33" customHeight="1">
      <c r="A25" s="620"/>
      <c r="B25" s="31" t="str">
        <f t="shared" si="1"/>
        <v/>
      </c>
      <c r="C25" s="615" t="str">
        <f t="shared" si="0"/>
        <v/>
      </c>
      <c r="D25" s="616"/>
      <c r="E25" s="151"/>
      <c r="F25" s="616"/>
      <c r="G25" s="151"/>
      <c r="H25" s="616"/>
      <c r="I25" s="151"/>
      <c r="J25" s="616"/>
      <c r="K25" s="151"/>
      <c r="L25" s="616"/>
      <c r="M25" s="151"/>
      <c r="N25" s="616"/>
      <c r="O25" s="402"/>
    </row>
    <row r="26" spans="1:16" ht="33" customHeight="1">
      <c r="A26" s="620"/>
      <c r="B26" s="31" t="str">
        <f t="shared" si="1"/>
        <v/>
      </c>
      <c r="C26" s="615" t="str">
        <f t="shared" si="0"/>
        <v/>
      </c>
      <c r="D26" s="616"/>
      <c r="E26" s="217"/>
      <c r="F26" s="616"/>
      <c r="G26" s="217"/>
      <c r="H26" s="616"/>
      <c r="I26" s="217"/>
      <c r="J26" s="616"/>
      <c r="K26" s="217"/>
      <c r="L26" s="616"/>
      <c r="M26" s="217"/>
      <c r="N26" s="616"/>
      <c r="O26" s="401"/>
    </row>
    <row r="27" spans="1:16" ht="33" customHeight="1">
      <c r="A27" s="620"/>
      <c r="B27" s="31" t="str">
        <f t="shared" si="1"/>
        <v/>
      </c>
      <c r="C27" s="615" t="str">
        <f t="shared" si="0"/>
        <v/>
      </c>
      <c r="D27" s="616"/>
      <c r="E27" s="151"/>
      <c r="F27" s="616"/>
      <c r="G27" s="151"/>
      <c r="H27" s="616"/>
      <c r="I27" s="151"/>
      <c r="J27" s="616"/>
      <c r="K27" s="151"/>
      <c r="L27" s="616"/>
      <c r="M27" s="151"/>
      <c r="N27" s="616"/>
      <c r="O27" s="402"/>
    </row>
    <row r="28" spans="1:16" ht="33" customHeight="1">
      <c r="A28" s="620"/>
      <c r="B28" s="31" t="str">
        <f t="shared" si="1"/>
        <v/>
      </c>
      <c r="C28" s="615" t="str">
        <f t="shared" si="0"/>
        <v/>
      </c>
      <c r="D28" s="616"/>
      <c r="E28" s="217"/>
      <c r="F28" s="616"/>
      <c r="G28" s="217"/>
      <c r="H28" s="616"/>
      <c r="I28" s="217"/>
      <c r="J28" s="616"/>
      <c r="K28" s="217"/>
      <c r="L28" s="616"/>
      <c r="M28" s="217"/>
      <c r="N28" s="616"/>
      <c r="O28" s="401"/>
    </row>
    <row r="29" spans="1:16" ht="33" customHeight="1">
      <c r="A29" s="620"/>
      <c r="B29" s="31" t="str">
        <f t="shared" ref="B29:B39" si="2">IF(A29&gt;0,C28,"")</f>
        <v/>
      </c>
      <c r="C29" s="615" t="str">
        <f t="shared" ref="C29:C39" si="3">IF(A29&gt;0,B29+A29,"")</f>
        <v/>
      </c>
      <c r="D29" s="616"/>
      <c r="E29" s="151"/>
      <c r="F29" s="616"/>
      <c r="G29" s="151"/>
      <c r="H29" s="616"/>
      <c r="I29" s="151"/>
      <c r="J29" s="616"/>
      <c r="K29" s="151"/>
      <c r="L29" s="616"/>
      <c r="M29" s="151"/>
      <c r="N29" s="616"/>
      <c r="O29" s="402"/>
    </row>
    <row r="30" spans="1:16" ht="33" customHeight="1">
      <c r="A30" s="620"/>
      <c r="B30" s="31" t="str">
        <f t="shared" si="2"/>
        <v/>
      </c>
      <c r="C30" s="615" t="str">
        <f t="shared" si="3"/>
        <v/>
      </c>
      <c r="D30" s="616"/>
      <c r="E30" s="648"/>
      <c r="F30" s="616"/>
      <c r="G30" s="648"/>
      <c r="H30" s="616"/>
      <c r="I30" s="648"/>
      <c r="J30" s="616"/>
      <c r="K30" s="648"/>
      <c r="L30" s="616"/>
      <c r="M30" s="648"/>
      <c r="N30" s="616"/>
      <c r="O30" s="649"/>
    </row>
    <row r="31" spans="1:16" ht="33" customHeight="1">
      <c r="A31" s="620"/>
      <c r="B31" s="31" t="str">
        <f t="shared" si="2"/>
        <v/>
      </c>
      <c r="C31" s="615" t="str">
        <f t="shared" si="3"/>
        <v/>
      </c>
      <c r="D31" s="616"/>
      <c r="E31" s="646"/>
      <c r="F31" s="616"/>
      <c r="G31" s="646"/>
      <c r="H31" s="616"/>
      <c r="I31" s="646"/>
      <c r="J31" s="616"/>
      <c r="K31" s="646"/>
      <c r="L31" s="616"/>
      <c r="M31" s="646"/>
      <c r="N31" s="616"/>
      <c r="O31" s="647"/>
    </row>
    <row r="32" spans="1:16" ht="33" customHeight="1">
      <c r="A32" s="620"/>
      <c r="B32" s="31" t="str">
        <f t="shared" si="2"/>
        <v/>
      </c>
      <c r="C32" s="615" t="str">
        <f t="shared" si="3"/>
        <v/>
      </c>
      <c r="D32" s="616"/>
      <c r="E32" s="648"/>
      <c r="F32" s="616"/>
      <c r="G32" s="648"/>
      <c r="H32" s="616"/>
      <c r="I32" s="648"/>
      <c r="J32" s="616"/>
      <c r="K32" s="648"/>
      <c r="L32" s="616"/>
      <c r="M32" s="648"/>
      <c r="N32" s="616"/>
      <c r="O32" s="649"/>
    </row>
    <row r="33" spans="1:45" ht="33" customHeight="1">
      <c r="A33" s="620"/>
      <c r="B33" s="31" t="str">
        <f t="shared" si="2"/>
        <v/>
      </c>
      <c r="C33" s="615" t="str">
        <f t="shared" si="3"/>
        <v/>
      </c>
      <c r="D33" s="616"/>
      <c r="E33" s="646"/>
      <c r="F33" s="616"/>
      <c r="G33" s="646"/>
      <c r="H33" s="616"/>
      <c r="I33" s="646"/>
      <c r="J33" s="616"/>
      <c r="K33" s="646"/>
      <c r="L33" s="616"/>
      <c r="M33" s="646"/>
      <c r="N33" s="616"/>
      <c r="O33" s="647"/>
    </row>
    <row r="34" spans="1:45" ht="33" customHeight="1">
      <c r="A34" s="620"/>
      <c r="B34" s="31" t="str">
        <f t="shared" si="2"/>
        <v/>
      </c>
      <c r="C34" s="615" t="str">
        <f t="shared" si="3"/>
        <v/>
      </c>
      <c r="D34" s="616"/>
      <c r="E34" s="217"/>
      <c r="F34" s="616"/>
      <c r="G34" s="217"/>
      <c r="H34" s="616"/>
      <c r="I34" s="217"/>
      <c r="J34" s="616"/>
      <c r="K34" s="217"/>
      <c r="L34" s="616"/>
      <c r="M34" s="217"/>
      <c r="N34" s="616"/>
      <c r="O34" s="401"/>
    </row>
    <row r="35" spans="1:45" ht="33" customHeight="1">
      <c r="A35" s="620"/>
      <c r="B35" s="31" t="str">
        <f t="shared" si="2"/>
        <v/>
      </c>
      <c r="C35" s="615" t="str">
        <f t="shared" si="3"/>
        <v/>
      </c>
      <c r="D35" s="616"/>
      <c r="E35" s="646"/>
      <c r="F35" s="616"/>
      <c r="G35" s="646"/>
      <c r="H35" s="616"/>
      <c r="I35" s="646"/>
      <c r="J35" s="616"/>
      <c r="K35" s="646"/>
      <c r="L35" s="616"/>
      <c r="M35" s="646"/>
      <c r="N35" s="616"/>
      <c r="O35" s="647"/>
    </row>
    <row r="36" spans="1:45" ht="33" customHeight="1">
      <c r="A36" s="620"/>
      <c r="B36" s="31" t="str">
        <f t="shared" si="2"/>
        <v/>
      </c>
      <c r="C36" s="615" t="str">
        <f t="shared" si="3"/>
        <v/>
      </c>
      <c r="D36" s="616"/>
      <c r="E36" s="648"/>
      <c r="F36" s="616"/>
      <c r="G36" s="648"/>
      <c r="H36" s="616"/>
      <c r="I36" s="648"/>
      <c r="J36" s="616"/>
      <c r="K36" s="648"/>
      <c r="L36" s="616"/>
      <c r="M36" s="648"/>
      <c r="N36" s="616"/>
      <c r="O36" s="649"/>
    </row>
    <row r="37" spans="1:45" ht="33" customHeight="1">
      <c r="A37" s="620"/>
      <c r="B37" s="31" t="str">
        <f t="shared" si="2"/>
        <v/>
      </c>
      <c r="C37" s="615" t="str">
        <f t="shared" si="3"/>
        <v/>
      </c>
      <c r="D37" s="616"/>
      <c r="E37" s="646"/>
      <c r="F37" s="616"/>
      <c r="G37" s="646"/>
      <c r="H37" s="616"/>
      <c r="I37" s="646"/>
      <c r="J37" s="616"/>
      <c r="K37" s="646"/>
      <c r="L37" s="616"/>
      <c r="M37" s="646"/>
      <c r="N37" s="616"/>
      <c r="O37" s="647"/>
    </row>
    <row r="38" spans="1:45" ht="33" customHeight="1">
      <c r="A38" s="620"/>
      <c r="B38" s="31" t="str">
        <f t="shared" si="2"/>
        <v/>
      </c>
      <c r="C38" s="615" t="str">
        <f t="shared" si="3"/>
        <v/>
      </c>
      <c r="D38" s="616"/>
      <c r="E38" s="648"/>
      <c r="F38" s="616"/>
      <c r="G38" s="648"/>
      <c r="H38" s="616"/>
      <c r="I38" s="648"/>
      <c r="J38" s="616"/>
      <c r="K38" s="648"/>
      <c r="L38" s="616"/>
      <c r="M38" s="648"/>
      <c r="N38" s="616"/>
      <c r="O38" s="649"/>
    </row>
    <row r="39" spans="1:45" ht="30" customHeight="1" thickBot="1">
      <c r="A39" s="620"/>
      <c r="B39" s="31" t="str">
        <f t="shared" si="2"/>
        <v/>
      </c>
      <c r="C39" s="615" t="str">
        <f t="shared" si="3"/>
        <v/>
      </c>
      <c r="D39" s="617"/>
      <c r="E39" s="696"/>
      <c r="F39" s="617"/>
      <c r="G39" s="696"/>
      <c r="H39" s="617"/>
      <c r="I39" s="696"/>
      <c r="J39" s="617"/>
      <c r="K39" s="696"/>
      <c r="L39" s="617"/>
      <c r="M39" s="696"/>
      <c r="N39" s="617"/>
      <c r="O39" s="697"/>
    </row>
    <row r="40" spans="1:45" ht="33" hidden="1" customHeight="1">
      <c r="A40" s="843"/>
      <c r="B40" s="843"/>
      <c r="C40" s="843"/>
      <c r="D40" s="599"/>
      <c r="E40" s="152">
        <f>IF(AND(D12="K",E12&gt;0),$A$12,0)+IF(AND(D13="K",E13&gt;0),$A$13,0)+IF(AND(D14="K",E14&gt;0),$A$14,0)+IF(AND(D15="K",E15&gt;0),$A$15,0)+IF(AND(D16="K",E16&gt;0),$A$16,0)+IF(AND(D17="K",E17&gt;0),$A$17,0)+IF(AND(D18="K",E18&gt;0),$A$18,0)+IF(AND(D19="K",E19&gt;0),$A$19,0)+IF(AND(D20="K",E20&gt;0),$A$20,0)+IF(AND(D21="K",E21&gt;0),$A$21,0)+IF(AND(D22="K",E22&gt;0),$A$22,0)+IF(AND(D23="K",E23&gt;0),$A$23,0)+IF(AND(D24="K",E24&gt;0),$A$24,0)+IF(AND(D25="K",E25&gt;0),$A$25,0)+IF(AND(D26="K",E26&gt;0),$A$26,0)+IF(AND(D27="K",E27&gt;0),$A$27,0)+IF(AND(D28="K",E28&gt;0),$A$28,0)+IF(AND(D29="K",E29&gt;0),$A$29,0)+IF(AND(D30="K",E30&gt;0),$A$30,0)+IF(AND(D31="K",E31&gt;0),$A$31,0)+IF(AND(D32="K",E32&gt;0),$A$32,0)+IF(AND(D33="K",E33&gt;0),$A$33,0)+IF(AND(D34="K",E34&gt;0),$A$34,0)+IF(AND(D35="K",E35&gt;0),$A$35,0)+IF(AND(D36="K",E36&gt;0),$A$36,0)+IF(AND(D37="K",E37&gt;0),$A$37,0)+IF(AND(D38="K",E38&gt;0),$A$38,0)+IF(AND(D39="K",E39&gt;0),$A$39,0)</f>
        <v>0</v>
      </c>
      <c r="F40" s="152">
        <f t="shared" ref="F40:N40" si="4">IF(AND(E12="K",F12&gt;0),$A$12,0)+IF(AND(E13="K",F13&gt;0),$A$13,0)+IF(AND(E14="K",F14&gt;0),$A$14,0)+IF(AND(E15="K",F15&gt;0),$A$15,0)+IF(AND(E16="K",F16&gt;0),$A$16,0)+IF(AND(E17="K",F17&gt;0),$A$17,0)+IF(AND(E18="K",F18&gt;0),$A$18,0)+IF(AND(E19="K",F19&gt;0),$A$19,0)+IF(AND(E20="K",F20&gt;0),$A$20,0)+IF(AND(E21="K",F21&gt;0),$A$21,0)+IF(AND(E22="K",F22&gt;0),$A$22,0)+IF(AND(E23="K",F23&gt;0),$A$23,0)+IF(AND(E24="K",F24&gt;0),$A$24,0)+IF(AND(E25="K",F25&gt;0),$A$25,0)+IF(AND(E26="K",F26&gt;0),$A$26,0)+IF(AND(E27="K",F27&gt;0),$A$27,0)+IF(AND(E28="K",F28&gt;0),$A$28,0)+IF(AND(E29="K",F29&gt;0),$A$29,0)+IF(AND(E30="K",F30&gt;0),$A$30,0)+IF(AND(E31="K",F31&gt;0),$A$31,0)+IF(AND(E32="K",F32&gt;0),$A$32,0)+IF(AND(E33="K",F33&gt;0),$A$33,0)+IF(AND(E34="K",F34&gt;0),$A$34,0)+IF(AND(E35="K",F35&gt;0),$A$35,0)+IF(AND(E36="K",F36&gt;0),$A$36,0)+IF(AND(E37="K",F37&gt;0),$A$37,0)+IF(AND(E38="K",F38&gt;0),$A$38,0)+IF(AND(E39="K",F39&gt;0),$A$39,0)</f>
        <v>0</v>
      </c>
      <c r="G40" s="152">
        <f t="shared" si="4"/>
        <v>0</v>
      </c>
      <c r="H40" s="152">
        <f t="shared" si="4"/>
        <v>0</v>
      </c>
      <c r="I40" s="152">
        <f t="shared" si="4"/>
        <v>0</v>
      </c>
      <c r="J40" s="152">
        <f t="shared" si="4"/>
        <v>0</v>
      </c>
      <c r="K40" s="152">
        <f t="shared" si="4"/>
        <v>0</v>
      </c>
      <c r="L40" s="152">
        <f t="shared" si="4"/>
        <v>0</v>
      </c>
      <c r="M40" s="152">
        <f t="shared" si="4"/>
        <v>0</v>
      </c>
      <c r="N40" s="152">
        <f t="shared" si="4"/>
        <v>0</v>
      </c>
      <c r="O40" s="152">
        <f>IF(AND(N12="K",O12&gt;0),$A$12,0)+IF(AND(N13="K",O13&gt;0),$A$13,0)+IF(AND(N14="K",O14&gt;0),$A$14,0)+IF(AND(N15="K",O15&gt;0),$A$15,0)+IF(AND(N16="K",O16&gt;0),$A$16,0)+IF(AND(N17="K",O17&gt;0),$A$17,0)+IF(AND(N18="K",O18&gt;0),$A$18,0)+IF(AND(N19="K",O19&gt;0),$A$19,0)+IF(AND(N20="K",O20&gt;0),$A$20,0)+IF(AND(N21="K",O21&gt;0),$A$21,0)+IF(AND(N22="K",O22&gt;0),$A$22,0)+IF(AND(N23="K",O23&gt;0),$A$23,0)+IF(AND(N24="K",O24&gt;0),$A$24,0)+IF(AND(N25="K",O25&gt;0),$A$25,0)+IF(AND(N26="K",O26&gt;0),$A$26,0)+IF(AND(N27="K",O27&gt;0),$A$27,0)+IF(AND(N28="K",O28&gt;0),$A$28,0)+IF(AND(N29="K",O29&gt;0),$A$29,0)+IF(AND(N30="K",O30&gt;0),$A$30,0)+IF(AND(N31="K",O31&gt;0),$A$31,0)+IF(AND(N32="K",O32&gt;0),$A$32,0)+IF(AND(N33="K",O33&gt;0),$A$33,0)+IF(AND(N34="K",O34&gt;0),$A$34,0)+IF(AND(N35="K",O35&gt;0),$A$35,0)+IF(AND(N36="K",O36&gt;0),$A$36,0)+IF(AND(N37="K",O37&gt;0),$A$37,0)+IF(AND(N38="K",O38&gt;0),$A$38,0)+IF(AND(N39="K",O39&gt;0),$A$39,0)</f>
        <v>0</v>
      </c>
      <c r="P40" s="283">
        <f>SUM(E40:M40)</f>
        <v>0</v>
      </c>
      <c r="Q40" s="283"/>
    </row>
    <row r="41" spans="1:45" ht="33" hidden="1" customHeight="1">
      <c r="A41" s="841"/>
      <c r="B41" s="841"/>
      <c r="C41" s="841"/>
      <c r="D41" s="599"/>
      <c r="E41" s="152">
        <f>IF(AND(D12="A",E12&gt;0),$A$12,0)+IF(AND(D13="A",E13&gt;0),$A$13,0)+IF(AND(D14="A",E14&gt;0),$A$14,0)+IF(AND(D15="A",E15&gt;0),$A$15,0)+IF(AND(D16="A",E16&gt;0),$A$16,0)+IF(AND(D17="A",E17&gt;0),$A$17,0)+IF(AND(D18="A",E18&gt;0),$A$18,0)+IF(AND(D19="A",E19&gt;0),$A$19,0)+IF(AND(D20="A",E20&gt;0),$A$20,0)+IF(AND(D21="A",E21&gt;0),$A$21,0)+IF(AND(D22="A",E22&gt;0),$A$22,0)+IF(AND(D23="A",E23&gt;0),$A$23,0)+IF(AND(D24="A",E24&gt;0),$A$24,0)+IF(AND(D25="A",E25&gt;0),$A$25,0)+IF(AND(D26="A",E26&gt;0),$A$26,0)+IF(AND(D27="A",E27&gt;0),$A$27,0)+IF(AND(D28="A",E28&gt;0),$A$28,0)+IF(AND(D29="A",E29&gt;0),$A$29,0)+IF(AND(D30="A",E30&gt;0),$A$30,0)+IF(AND(D31="A",E31&gt;0),$A$31,0)+IF(AND(D32="A",E32&gt;0),$A$32,0)+IF(AND(D33="A",E33&gt;0),$A$33,0)+IF(AND(D34="A",E34&gt;0),$A$34,0)+IF(AND(D35="A",E35&gt;0),$A$35,0)+IF(AND(D36="A",E36&gt;0),$A$36,0)+IF(AND(D37="A",E37&gt;0),$A$37,0)+IF(AND(D38="A",E38&gt;0),$A$38,0)+IF(AND(D39="A",E39&gt;0),$A$39,0)</f>
        <v>0</v>
      </c>
      <c r="F41" s="152">
        <f t="shared" ref="F41:N41" si="5">IF(AND(E12="A",F12&gt;0),$A$12,0)+IF(AND(E13="A",F13&gt;0),$A$13,0)+IF(AND(E14="A",F14&gt;0),$A$14,0)+IF(AND(E15="A",F15&gt;0),$A$15,0)+IF(AND(E16="A",F16&gt;0),$A$16,0)+IF(AND(E17="A",F17&gt;0),$A$17,0)+IF(AND(E18="A",F18&gt;0),$A$18,0)+IF(AND(E19="A",F19&gt;0),$A$19,0)+IF(AND(E20="A",F20&gt;0),$A$20,0)+IF(AND(E21="A",F21&gt;0),$A$21,0)+IF(AND(E22="A",F22&gt;0),$A$22,0)+IF(AND(E23="A",F23&gt;0),$A$23,0)+IF(AND(E24="A",F24&gt;0),$A$24,0)+IF(AND(E25="A",F25&gt;0),$A$25,0)+IF(AND(E26="A",F26&gt;0),$A$26,0)+IF(AND(E27="A",F27&gt;0),$A$27,0)+IF(AND(E28="A",F28&gt;0),$A$28,0)+IF(AND(E29="A",F29&gt;0),$A$29,0)+IF(AND(E30="A",F30&gt;0),$A$30,0)+IF(AND(E31="A",F31&gt;0),$A$31,0)+IF(AND(E32="A",F32&gt;0),$A$32,0)+IF(AND(E33="A",F33&gt;0),$A$33,0)+IF(AND(E34="A",F34&gt;0),$A$34,0)+IF(AND(E35="A",F35&gt;0),$A$35,0)+IF(AND(E36="A",F36&gt;0),$A$36,0)+IF(AND(E37="A",F37&gt;0),$A$37,0)+IF(AND(E38="A",F38&gt;0),$A$38,0)+IF(AND(E39="A",F39&gt;0),$A$39,0)</f>
        <v>0</v>
      </c>
      <c r="G41" s="152">
        <f t="shared" si="5"/>
        <v>0</v>
      </c>
      <c r="H41" s="152">
        <f t="shared" si="5"/>
        <v>0</v>
      </c>
      <c r="I41" s="152">
        <f t="shared" si="5"/>
        <v>0</v>
      </c>
      <c r="J41" s="152">
        <f t="shared" si="5"/>
        <v>0</v>
      </c>
      <c r="K41" s="152">
        <f t="shared" si="5"/>
        <v>0</v>
      </c>
      <c r="L41" s="152">
        <f t="shared" si="5"/>
        <v>0</v>
      </c>
      <c r="M41" s="152">
        <f t="shared" si="5"/>
        <v>0</v>
      </c>
      <c r="N41" s="152">
        <f t="shared" si="5"/>
        <v>0</v>
      </c>
      <c r="O41" s="152">
        <f>IF(AND(N12="A",O12&gt;0),$A$12,0)+IF(AND(N13="A",O13&gt;0),$A$13,0)+IF(AND(N14="A",O14&gt;0),$A$14,0)+IF(AND(N15="A",O15&gt;0),$A$15,0)+IF(AND(N16="A",O16&gt;0),$A$16,0)+IF(AND(N17="A",O17&gt;0),$A$17,0)+IF(AND(N18="A",O18&gt;0),$A$18,0)+IF(AND(N19="A",O19&gt;0),$A$19,0)+IF(AND(N20="A",O20&gt;0),$A$20,0)+IF(AND(N21="A",O21&gt;0),$A$21,0)+IF(AND(N22="A",O22&gt;0),$A$22,0)+IF(AND(N23="A",O23&gt;0),$A$23,0)+IF(AND(N24="A",O24&gt;0),$A$24,0)+IF(AND(N25="A",O25&gt;0),$A$25,0)+IF(AND(N26="A",O26&gt;0),$A$26,0)+IF(AND(N27="A",O27&gt;0),$A$27,0)+IF(AND(N28="A",O28&gt;0),$A$28,0)+IF(AND(N29="A",O29&gt;0),$A$29,0)+IF(AND(N30="A",O30&gt;0),$A$30,0)+IF(AND(N31="A",O31&gt;0),$A$31,0)+IF(AND(N32="A",O32&gt;0),$A$32,0)+IF(AND(N33="A",O33&gt;0),$A$33,0)+IF(AND(N34="A",O34&gt;0),$A$34,0)+IF(AND(N35="A",O35&gt;0),$A$35,0)+IF(AND(N36="A",O36&gt;0),$A$36,0)+IF(AND(N37="A",O37&gt;0),$A$37,0)+IF(AND(N38="A",O38&gt;0),$A$38,0)+IF(AND(N39="A",O39&gt;0),$A$39,0)</f>
        <v>0</v>
      </c>
    </row>
    <row r="42" spans="1:45" ht="33" hidden="1" customHeight="1">
      <c r="A42" s="842"/>
      <c r="B42" s="842"/>
      <c r="C42" s="842"/>
      <c r="D42" s="119"/>
      <c r="E42" s="119" t="e">
        <f>August!$G$65+#REF!+#REF!+#REF!+#REF!+#REF!+#REF!+#REF!+#REF!+#REF!+#REF!+#REF!</f>
        <v>#VALUE!</v>
      </c>
      <c r="F42" s="119"/>
      <c r="G42" s="119" t="e">
        <f>August!$G$66+#REF!+#REF!+#REF!+#REF!+#REF!+#REF!+#REF!+#REF!+#REF!+#REF!+#REF!</f>
        <v>#VALUE!</v>
      </c>
      <c r="H42" s="119"/>
      <c r="I42" s="119" t="e">
        <f>August!$G$67+#REF!+#REF!+#REF!+#REF!+#REF!+#REF!+#REF!+#REF!+#REF!+#REF!+#REF!</f>
        <v>#VALUE!</v>
      </c>
      <c r="J42" s="119"/>
      <c r="K42" s="119" t="e">
        <f>August!$G$68+#REF!+#REF!+#REF!+#REF!+#REF!+#REF!+#REF!+#REF!+#REF!+#REF!+#REF!</f>
        <v>#VALUE!</v>
      </c>
      <c r="L42" s="119"/>
      <c r="M42" s="119" t="e">
        <f>August!$G$71+#REF!+#REF!+#REF!+#REF!+#REF!+#REF!+#REF!+#REF!+#REF!+#REF!+#REF!</f>
        <v>#REF!</v>
      </c>
      <c r="N42" s="119"/>
      <c r="O42" s="119" t="e">
        <f>August!$G$71+#REF!+#REF!+#REF!+#REF!+#REF!+#REF!+#REF!+#REF!+#REF!+#REF!+#REF!</f>
        <v>#REF!</v>
      </c>
    </row>
    <row r="43" spans="1:45" hidden="1">
      <c r="E43" t="s">
        <v>124</v>
      </c>
    </row>
    <row r="44" spans="1:45" hidden="1">
      <c r="M44" t="s">
        <v>140</v>
      </c>
    </row>
    <row r="45" spans="1:45" hidden="1"/>
    <row r="46" spans="1:45" hidden="1">
      <c r="E46" s="1">
        <f>E40*24</f>
        <v>0</v>
      </c>
      <c r="G46" s="1">
        <f t="shared" ref="G46:O46" si="6">G40*24</f>
        <v>0</v>
      </c>
      <c r="I46" s="1">
        <f t="shared" si="6"/>
        <v>0</v>
      </c>
      <c r="K46" s="1">
        <f t="shared" si="6"/>
        <v>0</v>
      </c>
      <c r="M46" s="1">
        <f t="shared" si="6"/>
        <v>0</v>
      </c>
      <c r="O46" s="1">
        <f t="shared" si="6"/>
        <v>0</v>
      </c>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45" hidden="1">
      <c r="E47" s="1" t="e">
        <f>E46*E42</f>
        <v>#VALUE!</v>
      </c>
      <c r="G47" s="1" t="e">
        <f t="shared" ref="G47:M47" si="7">G46*G42</f>
        <v>#VALUE!</v>
      </c>
      <c r="I47" s="1" t="e">
        <f t="shared" si="7"/>
        <v>#VALUE!</v>
      </c>
      <c r="K47" s="1" t="e">
        <f t="shared" si="7"/>
        <v>#VALUE!</v>
      </c>
      <c r="M47" s="1" t="e">
        <f t="shared" si="7"/>
        <v>#REF!</v>
      </c>
      <c r="O47" s="1">
        <f>O46*P42</f>
        <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hidden="1">
      <c r="AS48" s="1"/>
    </row>
    <row r="49" spans="1:45" hidden="1">
      <c r="E49" s="1">
        <f>E41*24</f>
        <v>0</v>
      </c>
      <c r="G49" s="1">
        <f t="shared" ref="G49:O49" si="8">G41*24</f>
        <v>0</v>
      </c>
      <c r="I49" s="1">
        <f t="shared" si="8"/>
        <v>0</v>
      </c>
      <c r="K49" s="1">
        <f t="shared" si="8"/>
        <v>0</v>
      </c>
      <c r="M49" s="1">
        <f t="shared" si="8"/>
        <v>0</v>
      </c>
      <c r="O49" s="1">
        <f t="shared" si="8"/>
        <v>0</v>
      </c>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5" hidden="1">
      <c r="E50" s="1" t="e">
        <f>E49*E42</f>
        <v>#VALUE!</v>
      </c>
      <c r="G50" s="1" t="e">
        <f t="shared" ref="G50:M50" si="9">G49*G42</f>
        <v>#VALUE!</v>
      </c>
      <c r="I50" s="1" t="e">
        <f t="shared" si="9"/>
        <v>#VALUE!</v>
      </c>
      <c r="K50" s="1" t="e">
        <f t="shared" si="9"/>
        <v>#VALUE!</v>
      </c>
      <c r="M50" s="1" t="e">
        <f t="shared" si="9"/>
        <v>#REF!</v>
      </c>
      <c r="O50" s="1">
        <f>O49*P42</f>
        <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5" hidden="1">
      <c r="AS51" s="1"/>
    </row>
    <row r="52" spans="1:45" ht="17" hidden="1" thickBot="1">
      <c r="AS52" s="1"/>
    </row>
    <row r="53" spans="1:45" ht="16" customHeight="1">
      <c r="A53" s="711"/>
      <c r="B53" s="840" t="s">
        <v>289</v>
      </c>
      <c r="C53" s="840"/>
      <c r="D53" s="840"/>
      <c r="E53" s="840"/>
      <c r="F53" s="840"/>
      <c r="G53" s="840"/>
      <c r="H53" s="840"/>
      <c r="I53" s="840"/>
      <c r="J53" s="840"/>
      <c r="K53" s="840"/>
      <c r="L53" s="840"/>
      <c r="M53" s="840"/>
      <c r="N53" s="600"/>
      <c r="P53" s="33"/>
      <c r="Q53" s="33"/>
      <c r="R53" s="33"/>
      <c r="S53" s="33"/>
      <c r="T53" s="33"/>
      <c r="U53" s="33"/>
      <c r="V53" s="33"/>
      <c r="W53" s="33"/>
      <c r="X53" s="33"/>
      <c r="Y53" s="33"/>
      <c r="Z53" s="33"/>
      <c r="AA53" s="33"/>
    </row>
    <row r="54" spans="1:45" ht="16" customHeight="1">
      <c r="A54" s="711"/>
      <c r="B54" s="824"/>
      <c r="C54" s="824"/>
      <c r="D54" s="824"/>
      <c r="E54" s="824"/>
      <c r="F54" s="824"/>
      <c r="G54" s="824"/>
      <c r="H54" s="824"/>
      <c r="I54" s="824"/>
      <c r="J54" s="824"/>
      <c r="K54" s="824"/>
      <c r="L54" s="824"/>
      <c r="M54" s="824"/>
      <c r="N54" s="600"/>
    </row>
    <row r="55" spans="1:45" ht="16" customHeight="1">
      <c r="A55" s="711"/>
      <c r="B55" s="824"/>
      <c r="C55" s="824"/>
      <c r="D55" s="824"/>
      <c r="E55" s="824"/>
      <c r="F55" s="824"/>
      <c r="G55" s="824"/>
      <c r="H55" s="824"/>
      <c r="I55" s="824"/>
      <c r="J55" s="824"/>
      <c r="K55" s="824"/>
      <c r="L55" s="824"/>
      <c r="M55" s="824"/>
      <c r="N55" s="600"/>
    </row>
    <row r="56" spans="1:45" ht="16" customHeight="1">
      <c r="A56" s="711"/>
      <c r="B56" s="824"/>
      <c r="C56" s="824"/>
      <c r="D56" s="824"/>
      <c r="E56" s="824"/>
      <c r="F56" s="824"/>
      <c r="G56" s="824"/>
      <c r="H56" s="824"/>
      <c r="I56" s="824"/>
      <c r="J56" s="824"/>
      <c r="K56" s="824"/>
      <c r="L56" s="824"/>
      <c r="M56" s="824"/>
      <c r="N56" s="600"/>
    </row>
    <row r="57" spans="1:45" ht="19" customHeight="1">
      <c r="A57" s="711"/>
      <c r="B57" s="824"/>
      <c r="C57" s="824"/>
      <c r="D57" s="824"/>
      <c r="E57" s="824"/>
      <c r="F57" s="824"/>
      <c r="G57" s="824"/>
      <c r="H57" s="824"/>
      <c r="I57" s="824"/>
      <c r="J57" s="824"/>
      <c r="K57" s="824"/>
      <c r="L57" s="824"/>
      <c r="M57" s="824"/>
      <c r="N57" s="600"/>
    </row>
  </sheetData>
  <sheetProtection sheet="1" objects="1" scenarios="1"/>
  <mergeCells count="40">
    <mergeCell ref="B1:O1"/>
    <mergeCell ref="E2:O2"/>
    <mergeCell ref="A53:A57"/>
    <mergeCell ref="B53:M57"/>
    <mergeCell ref="A41:C41"/>
    <mergeCell ref="A42:C42"/>
    <mergeCell ref="A40:C40"/>
    <mergeCell ref="A8:O8"/>
    <mergeCell ref="A9:O9"/>
    <mergeCell ref="C10:C11"/>
    <mergeCell ref="D10:E10"/>
    <mergeCell ref="D11:E11"/>
    <mergeCell ref="F10:G10"/>
    <mergeCell ref="F11:G11"/>
    <mergeCell ref="J11:K11"/>
    <mergeCell ref="L10:M10"/>
    <mergeCell ref="N10:O10"/>
    <mergeCell ref="N11:O11"/>
    <mergeCell ref="A3:H3"/>
    <mergeCell ref="A4:B4"/>
    <mergeCell ref="C4:D4"/>
    <mergeCell ref="E4:F4"/>
    <mergeCell ref="G4:H4"/>
    <mergeCell ref="A5:B5"/>
    <mergeCell ref="C5:D5"/>
    <mergeCell ref="E5:F5"/>
    <mergeCell ref="H10:I10"/>
    <mergeCell ref="H11:I11"/>
    <mergeCell ref="J10:K10"/>
    <mergeCell ref="B2:C2"/>
    <mergeCell ref="L11:M11"/>
    <mergeCell ref="A7:B7"/>
    <mergeCell ref="C7:D7"/>
    <mergeCell ref="E7:F7"/>
    <mergeCell ref="G7:H7"/>
    <mergeCell ref="G5:H5"/>
    <mergeCell ref="A6:B6"/>
    <mergeCell ref="C6:D6"/>
    <mergeCell ref="E6:F6"/>
    <mergeCell ref="G6:H6"/>
  </mergeCells>
  <phoneticPr fontId="4" type="noConversion"/>
  <conditionalFormatting sqref="B12:D39">
    <cfRule type="expression" dxfId="1479" priority="38">
      <formula>OR(#REF!="Andre opgaver",)</formula>
    </cfRule>
    <cfRule type="expression" dxfId="1478" priority="39">
      <formula>OR(#REF!="Kerneopgave",)</formula>
    </cfRule>
  </conditionalFormatting>
  <conditionalFormatting sqref="E12:E39">
    <cfRule type="expression" dxfId="1477" priority="11" stopIfTrue="1">
      <formula>AND($A12&gt;0,$D12="K")</formula>
    </cfRule>
    <cfRule type="expression" dxfId="1476" priority="12">
      <formula>AND($A12&gt;0,$D12="A")</formula>
    </cfRule>
  </conditionalFormatting>
  <conditionalFormatting sqref="F12:F39">
    <cfRule type="expression" dxfId="1475" priority="21">
      <formula>OR(#REF!="Andre opgaver",)</formula>
    </cfRule>
    <cfRule type="expression" dxfId="1474" priority="22">
      <formula>OR(#REF!="Kerneopgave",)</formula>
    </cfRule>
  </conditionalFormatting>
  <conditionalFormatting sqref="G12:G39">
    <cfRule type="expression" dxfId="1473" priority="9" stopIfTrue="1">
      <formula>AND($A12&gt;0,$F12="K")</formula>
    </cfRule>
    <cfRule type="expression" dxfId="1472" priority="10" stopIfTrue="1">
      <formula>AND($A12&gt;0,$F12="A")</formula>
    </cfRule>
  </conditionalFormatting>
  <conditionalFormatting sqref="H12:H39">
    <cfRule type="expression" dxfId="1471" priority="19">
      <formula>OR(#REF!="Andre opgaver",)</formula>
    </cfRule>
    <cfRule type="expression" dxfId="1470" priority="20">
      <formula>OR(#REF!="Kerneopgave",)</formula>
    </cfRule>
  </conditionalFormatting>
  <conditionalFormatting sqref="I12:I39">
    <cfRule type="expression" dxfId="1469" priority="7">
      <formula>AND($A12&gt;0,$H12="K")</formula>
    </cfRule>
    <cfRule type="expression" dxfId="1468" priority="8">
      <formula>AND($A12&gt;0,$H12="A")</formula>
    </cfRule>
  </conditionalFormatting>
  <conditionalFormatting sqref="J12:J39">
    <cfRule type="expression" dxfId="1467" priority="17">
      <formula>OR(#REF!="Andre opgaver",)</formula>
    </cfRule>
    <cfRule type="expression" dxfId="1466" priority="18">
      <formula>OR(#REF!="Kerneopgave",)</formula>
    </cfRule>
  </conditionalFormatting>
  <conditionalFormatting sqref="K12:K39">
    <cfRule type="expression" dxfId="1465" priority="5" stopIfTrue="1">
      <formula>AND($A12&gt;0,$J12="K")</formula>
    </cfRule>
    <cfRule type="expression" dxfId="1464" priority="6" stopIfTrue="1">
      <formula>AND($A12&gt;0,$J12="A")</formula>
    </cfRule>
  </conditionalFormatting>
  <conditionalFormatting sqref="L12:L39">
    <cfRule type="expression" dxfId="1463" priority="15">
      <formula>OR(#REF!="Andre opgaver",)</formula>
    </cfRule>
    <cfRule type="expression" dxfId="1462" priority="16">
      <formula>OR(#REF!="Kerneopgave",)</formula>
    </cfRule>
  </conditionalFormatting>
  <conditionalFormatting sqref="M12:M39">
    <cfRule type="expression" dxfId="1461" priority="3">
      <formula>AND($A12&gt;0,$L12="K")</formula>
    </cfRule>
    <cfRule type="expression" dxfId="1460" priority="4">
      <formula>AND($A12&gt;0,$L12="A")</formula>
    </cfRule>
  </conditionalFormatting>
  <conditionalFormatting sqref="N12:N39">
    <cfRule type="expression" dxfId="1459" priority="13">
      <formula>OR(#REF!="Andre opgaver",)</formula>
    </cfRule>
    <cfRule type="expression" dxfId="1458" priority="14">
      <formula>OR(#REF!="Kerneopgave",)</formula>
    </cfRule>
  </conditionalFormatting>
  <conditionalFormatting sqref="O12:O39">
    <cfRule type="expression" dxfId="1457" priority="2" stopIfTrue="1">
      <formula>AND($A12&gt;0,$N12="A")</formula>
    </cfRule>
    <cfRule type="expression" dxfId="1456" priority="1" stopIfTrue="1">
      <formula>AND($A12&gt;0,$N12="K")</formula>
    </cfRule>
  </conditionalFormatting>
  <dataValidations count="1">
    <dataValidation type="list" allowBlank="1" showInputMessage="1" showErrorMessage="1" sqref="N12:N39 H12:H39 D12:D39 F12:F39 J12:J39 L12:L39" xr:uid="{AED2E10B-26C1-D540-97E3-9B2738D481D7}">
      <formula1>$P$12:$P$13</formula1>
    </dataValidation>
  </dataValidations>
  <hyperlinks>
    <hyperlink ref="G4:H4" location="Opgørelse!B12" display="Opgørelse" xr:uid="{2408B654-AC4B-6549-BE8D-4507B7A04CB3}"/>
    <hyperlink ref="E4:F4" location="Arbejdstidsoversigt!A19" display="Arbejdstids-oversigt" xr:uid="{55B88494-1CAD-0941-BCFC-E1FDB631296B}"/>
    <hyperlink ref="A4:B4" location="'Normal uger'!A11" display="Normale uger" xr:uid="{0B9A1411-6EFD-904C-9F37-7B5A28007F98}"/>
    <hyperlink ref="C4:D4" location="Stamoplysninger!E18" display="Stamoplysninger" xr:uid="{BA5B4F26-2F5E-C341-9CDD-0450687E8982}"/>
    <hyperlink ref="A5:B5" location="August!A12" display="August" xr:uid="{1464018A-26AC-D44E-8628-1804C6FEA43F}"/>
    <hyperlink ref="C5:D5" location="September!A8" display="September" xr:uid="{7DD9AB27-B382-E641-840A-FADA729F45CB}"/>
    <hyperlink ref="E5:F5" location="Oktober!A8" display="Oktober" xr:uid="{815EFCA4-8312-A146-BCD0-8DE0391128BA}"/>
    <hyperlink ref="G5:H5" location="November!A8" display="November" xr:uid="{89D4B7EA-BBB4-BA4A-BF80-3B07F463874E}"/>
    <hyperlink ref="A6:B6" location="December!A8" display="December" xr:uid="{3E356833-709F-D04C-80FD-7EC210982B2D}"/>
    <hyperlink ref="C6:D6" location="Januar!A8" display="Januar" xr:uid="{66E2F79F-D991-F349-AD60-3E959B77DEC3}"/>
    <hyperlink ref="E6:F6" location="Februar!A8" display="Februar" xr:uid="{C4D0287B-A941-2A40-B186-49B52BC68862}"/>
    <hyperlink ref="A7:B7" location="April!A8" display="April" xr:uid="{79BD3AB0-5A05-644E-B9EF-64319F98E8F5}"/>
    <hyperlink ref="C7:D7" location="Maj!A8" display="Maj" xr:uid="{61067F34-3A09-9D40-9952-3F558BFCA07E}"/>
    <hyperlink ref="E7:F7" location="Juni!A8" display="Juni" xr:uid="{93083655-C3E4-3E48-BDE7-955B81CCFF9D}"/>
    <hyperlink ref="G7:H7" location="Juli!A8" display="Juli" xr:uid="{B2839376-91C0-7E4A-92EC-311D38BAAC6E}"/>
    <hyperlink ref="G6:H6" location="Marts!A8" display="Marts" xr:uid="{08380E86-9CA0-1A48-BA62-DFF14F0D84B9}"/>
  </hyperlinks>
  <pageMargins left="0.7" right="0.7" top="0.75" bottom="0.75" header="0.3" footer="0.3"/>
  <pageSetup paperSize="9" scale="62" fitToHeight="4"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ED133"/>
  <sheetViews>
    <sheetView zoomScale="88" zoomScaleNormal="100" workbookViewId="0">
      <selection activeCell="M44" sqref="M44"/>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5" customWidth="1"/>
    <col min="15" max="15" width="13.83203125" customWidth="1"/>
    <col min="16"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34" width="10.83203125" hidden="1" customWidth="1"/>
    <col min="135" max="141" width="10.83203125" customWidth="1"/>
  </cols>
  <sheetData>
    <row r="1" spans="1:8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86" ht="96" customHeight="1">
      <c r="A2" s="886">
        <v>8</v>
      </c>
      <c r="B2" s="886"/>
      <c r="C2" s="886"/>
      <c r="D2" s="886"/>
      <c r="E2" s="824" t="s">
        <v>369</v>
      </c>
      <c r="F2" s="824"/>
      <c r="G2" s="824"/>
      <c r="H2" s="824"/>
      <c r="I2" s="824"/>
      <c r="J2" s="824"/>
      <c r="K2" s="824"/>
      <c r="L2" s="824"/>
      <c r="M2" s="824"/>
      <c r="N2" s="824"/>
      <c r="O2" s="824"/>
      <c r="P2" s="824"/>
      <c r="Q2" s="824"/>
      <c r="R2" s="56"/>
      <c r="S2" s="56"/>
      <c r="T2" s="56"/>
      <c r="U2" s="56"/>
      <c r="V2" s="56"/>
      <c r="W2" s="56"/>
      <c r="X2" s="56"/>
      <c r="Y2" s="68" t="s">
        <v>28</v>
      </c>
      <c r="Z2" s="56"/>
      <c r="AA2" s="136"/>
      <c r="AB2" s="56"/>
      <c r="AD2" s="56"/>
      <c r="AE2" s="56"/>
      <c r="AP2" s="56"/>
      <c r="AQ2" s="56"/>
      <c r="BR2" s="56"/>
      <c r="BS2" s="136"/>
      <c r="BT2" s="136"/>
      <c r="BV2" s="56"/>
      <c r="CG2" s="56"/>
      <c r="CH2" s="56"/>
    </row>
    <row r="3" spans="1:86" ht="24" customHeight="1">
      <c r="A3" s="886"/>
      <c r="B3" s="886"/>
      <c r="C3" s="886"/>
      <c r="D3" s="886"/>
      <c r="E3" s="824" t="s">
        <v>290</v>
      </c>
      <c r="F3" s="824"/>
      <c r="G3" s="824"/>
      <c r="H3" s="824"/>
      <c r="I3" s="824"/>
      <c r="J3" s="824"/>
      <c r="K3" s="824"/>
      <c r="L3" s="824"/>
      <c r="M3" s="824"/>
      <c r="N3" s="824"/>
      <c r="O3" s="824"/>
      <c r="P3" s="824"/>
      <c r="Q3" s="824"/>
      <c r="R3" s="56"/>
      <c r="S3" s="56"/>
      <c r="T3" s="56"/>
      <c r="U3" s="56"/>
      <c r="V3" s="56"/>
      <c r="W3" s="56"/>
      <c r="X3" s="56"/>
      <c r="Y3" s="68"/>
      <c r="Z3" s="56"/>
      <c r="AA3" s="136"/>
      <c r="AB3" s="56"/>
      <c r="AD3" s="56"/>
      <c r="AE3" s="56"/>
      <c r="AP3" s="56"/>
      <c r="AQ3" s="56"/>
      <c r="BR3" s="56"/>
      <c r="BS3" s="136"/>
      <c r="BT3" s="136"/>
      <c r="BV3" s="56"/>
      <c r="CG3" s="56"/>
      <c r="CH3" s="56"/>
    </row>
    <row r="4" spans="1:86" ht="80" customHeight="1">
      <c r="A4" s="886"/>
      <c r="B4" s="886"/>
      <c r="C4" s="886"/>
      <c r="D4" s="886"/>
      <c r="E4" s="824" t="s">
        <v>400</v>
      </c>
      <c r="F4" s="824"/>
      <c r="G4" s="824"/>
      <c r="H4" s="824"/>
      <c r="I4" s="824"/>
      <c r="J4" s="824"/>
      <c r="K4" s="824"/>
      <c r="L4" s="824"/>
      <c r="M4" s="824"/>
      <c r="N4" s="824"/>
      <c r="O4" s="824"/>
      <c r="P4" s="824"/>
      <c r="Q4" s="824"/>
      <c r="R4" s="56"/>
      <c r="S4" s="56"/>
      <c r="T4" s="56"/>
      <c r="U4" s="56"/>
      <c r="V4" s="56"/>
      <c r="W4" s="56"/>
      <c r="X4" s="56"/>
      <c r="Y4" s="68"/>
      <c r="Z4" s="56"/>
      <c r="AA4" s="136"/>
      <c r="AB4" s="56"/>
      <c r="AD4" s="56"/>
      <c r="AE4" s="56"/>
      <c r="AP4" s="56"/>
      <c r="AQ4" s="56"/>
      <c r="BR4" s="56"/>
      <c r="BS4" s="136"/>
      <c r="BT4" s="136"/>
      <c r="BV4" s="56"/>
      <c r="CG4" s="56"/>
      <c r="CH4" s="56"/>
    </row>
    <row r="5" spans="1:86" ht="84" customHeight="1">
      <c r="A5" s="886"/>
      <c r="B5" s="886"/>
      <c r="C5" s="886"/>
      <c r="D5" s="886"/>
      <c r="E5" s="824" t="s">
        <v>291</v>
      </c>
      <c r="F5" s="824"/>
      <c r="G5" s="824"/>
      <c r="H5" s="824"/>
      <c r="I5" s="824"/>
      <c r="J5" s="824"/>
      <c r="K5" s="824"/>
      <c r="L5" s="824"/>
      <c r="M5" s="824"/>
      <c r="N5" s="824"/>
      <c r="O5" s="824"/>
      <c r="P5" s="824"/>
      <c r="Q5" s="824"/>
      <c r="R5" s="56"/>
      <c r="S5" s="56"/>
      <c r="T5" s="56"/>
      <c r="U5" s="56"/>
      <c r="V5" s="56"/>
      <c r="W5" s="56"/>
      <c r="X5" s="56"/>
      <c r="Y5" s="68"/>
      <c r="Z5" s="56"/>
      <c r="AA5" s="136"/>
      <c r="AB5" s="56"/>
      <c r="AD5" s="56"/>
      <c r="AE5" s="56"/>
      <c r="AP5" s="56"/>
      <c r="AQ5" s="56"/>
      <c r="BR5" s="56"/>
      <c r="BS5" s="136"/>
      <c r="BT5" s="136"/>
      <c r="BV5" s="56"/>
      <c r="CG5" s="56"/>
      <c r="CH5" s="56"/>
    </row>
    <row r="6" spans="1:86" ht="55" customHeight="1">
      <c r="A6" s="886"/>
      <c r="B6" s="886"/>
      <c r="C6" s="886"/>
      <c r="D6" s="886"/>
      <c r="E6" s="824" t="s">
        <v>292</v>
      </c>
      <c r="F6" s="824"/>
      <c r="G6" s="824"/>
      <c r="H6" s="824"/>
      <c r="I6" s="824"/>
      <c r="J6" s="824"/>
      <c r="K6" s="824"/>
      <c r="L6" s="824"/>
      <c r="M6" s="824"/>
      <c r="N6" s="824"/>
      <c r="O6" s="824"/>
      <c r="P6" s="824"/>
      <c r="Q6" s="824"/>
      <c r="R6" s="56"/>
      <c r="S6" s="56"/>
      <c r="T6" s="56"/>
      <c r="U6" s="56"/>
      <c r="V6" s="56"/>
      <c r="W6" s="56"/>
      <c r="X6" s="56"/>
      <c r="Y6" s="68"/>
      <c r="Z6" s="56"/>
      <c r="AA6" s="136"/>
      <c r="AB6" s="56"/>
      <c r="AD6" s="56"/>
      <c r="AE6" s="56"/>
      <c r="AP6" s="56"/>
      <c r="AQ6" s="56"/>
      <c r="BR6" s="56"/>
      <c r="BS6" s="136"/>
      <c r="BT6" s="136"/>
      <c r="BV6" s="56"/>
      <c r="CG6" s="56"/>
      <c r="CH6" s="56"/>
    </row>
    <row r="7" spans="1:86" ht="33" customHeight="1">
      <c r="A7" s="886"/>
      <c r="B7" s="886"/>
      <c r="C7" s="886"/>
      <c r="D7" s="886"/>
      <c r="E7" s="824" t="s">
        <v>365</v>
      </c>
      <c r="F7" s="824"/>
      <c r="G7" s="824"/>
      <c r="H7" s="824"/>
      <c r="I7" s="824"/>
      <c r="J7" s="824"/>
      <c r="K7" s="824"/>
      <c r="L7" s="824"/>
      <c r="M7" s="824"/>
      <c r="N7" s="824"/>
      <c r="O7" s="824"/>
      <c r="P7" s="824"/>
      <c r="Q7" s="824"/>
      <c r="R7" s="56"/>
      <c r="S7" s="56"/>
      <c r="T7" s="56"/>
      <c r="U7" s="56"/>
      <c r="V7" s="56"/>
      <c r="W7" s="56"/>
      <c r="X7" s="56"/>
      <c r="Y7" s="68"/>
      <c r="Z7" s="68"/>
      <c r="AA7" s="136"/>
      <c r="AB7" s="56"/>
      <c r="AD7" s="56"/>
      <c r="AE7" s="56"/>
      <c r="AP7" s="56"/>
      <c r="AQ7" s="56"/>
      <c r="BR7" s="68"/>
      <c r="BS7" s="136"/>
      <c r="BT7" s="136"/>
      <c r="BV7" s="56"/>
      <c r="CG7" s="56"/>
      <c r="CH7" s="56"/>
    </row>
    <row r="8" spans="1:86" ht="33" customHeight="1">
      <c r="A8" s="886"/>
      <c r="B8" s="886"/>
      <c r="C8" s="886"/>
      <c r="D8" s="886"/>
      <c r="E8" s="824" t="s">
        <v>298</v>
      </c>
      <c r="F8" s="824"/>
      <c r="G8" s="824"/>
      <c r="H8" s="824"/>
      <c r="I8" s="824"/>
      <c r="J8" s="824"/>
      <c r="K8" s="824"/>
      <c r="L8" s="824"/>
      <c r="M8" s="824"/>
      <c r="N8" s="824"/>
      <c r="O8" s="824"/>
      <c r="P8" s="824"/>
      <c r="Q8" s="824"/>
      <c r="R8" s="56"/>
      <c r="S8" s="56"/>
      <c r="T8" s="56"/>
      <c r="U8" s="56"/>
      <c r="V8" s="56"/>
      <c r="W8" s="56"/>
      <c r="X8" s="56"/>
      <c r="Y8" s="68"/>
      <c r="Z8" s="68"/>
      <c r="AA8" s="136"/>
      <c r="AB8" s="56"/>
      <c r="AD8" s="56"/>
      <c r="AE8" s="56"/>
      <c r="AP8" s="56"/>
      <c r="AQ8" s="56"/>
      <c r="BR8" s="68"/>
      <c r="BS8" s="136"/>
      <c r="BT8" s="136"/>
      <c r="BV8" s="56"/>
      <c r="CG8" s="56"/>
      <c r="CH8" s="56"/>
    </row>
    <row r="9" spans="1:86" ht="25" customHeight="1" thickBot="1">
      <c r="A9" s="735" t="s">
        <v>496</v>
      </c>
      <c r="B9" s="735"/>
      <c r="C9" s="735"/>
      <c r="D9" s="735"/>
      <c r="E9" s="735"/>
      <c r="F9" s="735"/>
      <c r="G9" s="735"/>
      <c r="H9" s="735"/>
      <c r="I9" s="685"/>
      <c r="J9" s="685"/>
      <c r="K9" s="685"/>
      <c r="L9" s="685"/>
      <c r="M9" s="685"/>
      <c r="N9" s="685"/>
      <c r="O9" s="685"/>
      <c r="P9" s="640"/>
      <c r="Q9" s="640"/>
      <c r="R9" s="640"/>
      <c r="S9" s="640"/>
      <c r="T9" s="640"/>
      <c r="U9" s="640"/>
      <c r="V9" s="640"/>
      <c r="W9" s="640"/>
      <c r="X9" s="640"/>
      <c r="AA9"/>
      <c r="AB9"/>
      <c r="AT9" s="33"/>
      <c r="BS9"/>
      <c r="BT9"/>
    </row>
    <row r="10" spans="1:86" ht="48" customHeight="1" thickBot="1">
      <c r="A10" s="854" t="s">
        <v>493</v>
      </c>
      <c r="B10" s="855"/>
      <c r="C10" s="753" t="s">
        <v>469</v>
      </c>
      <c r="D10" s="754"/>
      <c r="E10" s="731" t="s">
        <v>495</v>
      </c>
      <c r="F10" s="732"/>
      <c r="G10" s="733" t="s">
        <v>161</v>
      </c>
      <c r="H10" s="734"/>
      <c r="I10" s="785" t="s">
        <v>492</v>
      </c>
      <c r="J10" s="786"/>
      <c r="K10" s="701"/>
      <c r="AA10"/>
      <c r="AB10"/>
      <c r="BS10"/>
      <c r="BT10"/>
    </row>
    <row r="11" spans="1:86" ht="30" customHeight="1" thickBot="1">
      <c r="A11" s="730" t="s">
        <v>117</v>
      </c>
      <c r="B11" s="730"/>
      <c r="C11" s="730" t="s">
        <v>119</v>
      </c>
      <c r="D11" s="730"/>
      <c r="E11" s="730" t="s">
        <v>120</v>
      </c>
      <c r="F11" s="730"/>
      <c r="G11" s="730" t="s">
        <v>121</v>
      </c>
      <c r="H11" s="730"/>
      <c r="AA11"/>
      <c r="AB11"/>
      <c r="BS11"/>
      <c r="BT11"/>
    </row>
    <row r="12" spans="1:86" ht="44" customHeight="1" thickBot="1">
      <c r="A12" s="730" t="s">
        <v>130</v>
      </c>
      <c r="B12" s="730"/>
      <c r="C12" s="730" t="s">
        <v>131</v>
      </c>
      <c r="D12" s="730"/>
      <c r="E12" s="730" t="s">
        <v>132</v>
      </c>
      <c r="F12" s="730"/>
      <c r="G12" s="730" t="s">
        <v>133</v>
      </c>
      <c r="H12" s="730"/>
      <c r="AA12"/>
      <c r="AB12"/>
      <c r="BS12"/>
      <c r="BT12"/>
    </row>
    <row r="13" spans="1:86" ht="30" customHeight="1" thickBot="1">
      <c r="A13" s="730" t="s">
        <v>134</v>
      </c>
      <c r="B13" s="730"/>
      <c r="C13" s="730" t="s">
        <v>135</v>
      </c>
      <c r="D13" s="730"/>
      <c r="E13" s="730" t="s">
        <v>136</v>
      </c>
      <c r="F13" s="730"/>
      <c r="G13" s="730" t="s">
        <v>137</v>
      </c>
      <c r="H13" s="730"/>
      <c r="AA13"/>
      <c r="AB13"/>
      <c r="BS13"/>
      <c r="BT13"/>
    </row>
    <row r="14" spans="1:86" ht="17" thickBot="1">
      <c r="A14" s="890" t="s">
        <v>143</v>
      </c>
      <c r="B14" s="891"/>
      <c r="C14" s="891"/>
      <c r="D14" s="891"/>
      <c r="E14" s="891"/>
      <c r="F14" s="891"/>
      <c r="G14" s="891"/>
      <c r="H14" s="891"/>
      <c r="I14" s="891"/>
      <c r="J14" s="891"/>
      <c r="K14" s="891"/>
      <c r="L14" s="891"/>
      <c r="M14" s="891"/>
      <c r="N14" s="891"/>
      <c r="O14" s="891"/>
      <c r="P14" s="891"/>
      <c r="Q14" s="891"/>
      <c r="R14" s="891"/>
      <c r="S14" s="891"/>
      <c r="T14" s="891"/>
      <c r="U14" s="892"/>
      <c r="V14" s="380"/>
      <c r="W14" s="366"/>
      <c r="X14" s="366"/>
      <c r="Y14" s="366"/>
      <c r="Z14" s="367"/>
      <c r="AA14"/>
      <c r="AB14" s="56"/>
      <c r="AC14" s="56"/>
      <c r="AM14" s="56"/>
      <c r="AN14" s="56"/>
      <c r="AO14" s="56"/>
      <c r="BS14"/>
      <c r="BT14"/>
      <c r="BU14" s="56"/>
      <c r="CD14" s="56"/>
      <c r="CE14" s="56"/>
      <c r="CF14" s="56"/>
    </row>
    <row r="15" spans="1:86" ht="198" thickBot="1">
      <c r="A15" s="926" t="s">
        <v>249</v>
      </c>
      <c r="B15" s="927"/>
      <c r="C15" s="927"/>
      <c r="D15" s="927"/>
      <c r="E15" s="902" t="s">
        <v>144</v>
      </c>
      <c r="F15" s="902"/>
      <c r="G15" s="902"/>
      <c r="H15" s="381" t="s">
        <v>252</v>
      </c>
      <c r="I15" s="901" t="s">
        <v>371</v>
      </c>
      <c r="J15" s="901"/>
      <c r="K15" s="889" t="s">
        <v>293</v>
      </c>
      <c r="L15" s="889"/>
      <c r="M15" s="382" t="s">
        <v>184</v>
      </c>
      <c r="N15" s="898" t="s">
        <v>401</v>
      </c>
      <c r="O15" s="898"/>
      <c r="P15" s="383" t="s">
        <v>294</v>
      </c>
      <c r="Q15" s="383" t="s">
        <v>253</v>
      </c>
      <c r="R15" s="383" t="s">
        <v>254</v>
      </c>
      <c r="S15" s="384" t="s">
        <v>255</v>
      </c>
      <c r="T15" s="384" t="s">
        <v>295</v>
      </c>
      <c r="U15" s="385" t="s">
        <v>173</v>
      </c>
      <c r="V15" s="136"/>
      <c r="W15" s="56"/>
      <c r="Y15" s="56"/>
      <c r="Z15" s="56"/>
      <c r="AA15"/>
      <c r="AB15"/>
      <c r="AK15" s="56"/>
      <c r="AL15" s="56"/>
      <c r="BQ15" s="56"/>
      <c r="BR15" s="56"/>
      <c r="BS15"/>
      <c r="BT15"/>
      <c r="CB15" s="56"/>
      <c r="CC15" s="56"/>
    </row>
    <row r="16" spans="1:86" ht="26" thickBot="1">
      <c r="A16" s="932" t="str">
        <f>""&amp;A18&amp;" måneds kalender for: "&amp;Stamoplysninger!E14&amp;". Måneden vedr. normperioden: "&amp;Stamoplysninger!E17&amp;" - "&amp;Stamoplysninger!G17&amp;"."</f>
        <v>August måneds kalender for: . Måneden vedr. normperioden:  - .</v>
      </c>
      <c r="B16" s="933"/>
      <c r="C16" s="933"/>
      <c r="D16" s="933"/>
      <c r="E16" s="933"/>
      <c r="F16" s="933"/>
      <c r="G16" s="933"/>
      <c r="H16" s="933"/>
      <c r="I16" s="933"/>
      <c r="J16" s="933"/>
      <c r="K16" s="933"/>
      <c r="L16" s="933"/>
      <c r="M16" s="933"/>
      <c r="N16" s="894" t="s">
        <v>271</v>
      </c>
      <c r="O16" s="895"/>
      <c r="P16" s="894" t="s">
        <v>142</v>
      </c>
      <c r="Q16" s="899"/>
      <c r="R16" s="899"/>
      <c r="S16" s="899"/>
      <c r="T16" s="899"/>
      <c r="U16" s="895"/>
      <c r="V16" s="136"/>
      <c r="W16" s="56"/>
      <c r="Y16" s="56"/>
      <c r="Z16" s="56"/>
      <c r="AA16"/>
      <c r="AB16"/>
      <c r="AK16" s="56"/>
      <c r="AL16" s="56"/>
      <c r="BQ16" s="56"/>
      <c r="BR16" s="56"/>
      <c r="BS16"/>
      <c r="BT16"/>
      <c r="CB16" s="56"/>
      <c r="CC16" s="56"/>
    </row>
    <row r="17" spans="1:116" ht="47" customHeight="1">
      <c r="A17" s="200">
        <v>2025</v>
      </c>
      <c r="B17" s="132"/>
      <c r="C17" s="133"/>
      <c r="D17" s="134"/>
      <c r="E17" s="905" t="s">
        <v>250</v>
      </c>
      <c r="F17" s="906"/>
      <c r="G17" s="907"/>
      <c r="H17" s="197" t="s">
        <v>146</v>
      </c>
      <c r="I17" s="903" t="s">
        <v>372</v>
      </c>
      <c r="J17" s="904"/>
      <c r="K17" s="887" t="s">
        <v>230</v>
      </c>
      <c r="L17" s="887" t="s">
        <v>231</v>
      </c>
      <c r="M17" s="870" t="s">
        <v>203</v>
      </c>
      <c r="N17" s="896" t="s">
        <v>274</v>
      </c>
      <c r="O17" s="897"/>
      <c r="P17" s="864" t="s">
        <v>256</v>
      </c>
      <c r="Q17" s="865"/>
      <c r="R17" s="865"/>
      <c r="S17" s="865"/>
      <c r="T17" s="865"/>
      <c r="U17" s="866"/>
      <c r="V17" s="116"/>
      <c r="W17" s="116"/>
      <c r="X17" s="925" t="s">
        <v>224</v>
      </c>
      <c r="Y17" s="925"/>
      <c r="Z17" s="925"/>
      <c r="AA17" s="925"/>
      <c r="AB17" s="925"/>
      <c r="AC17" s="925"/>
      <c r="AD17" s="925"/>
      <c r="AE17" s="925"/>
      <c r="AF17" s="925"/>
      <c r="AG17" s="925"/>
      <c r="AH17" s="925"/>
      <c r="AI17" s="925"/>
      <c r="AJ17" s="928" t="s">
        <v>229</v>
      </c>
      <c r="AK17" s="928"/>
      <c r="AL17" s="928"/>
      <c r="AM17" s="928"/>
      <c r="AN17" s="928"/>
      <c r="AO17" s="929" t="s">
        <v>232</v>
      </c>
      <c r="AP17" s="929"/>
      <c r="AQ17" s="929"/>
      <c r="AR17" s="929"/>
      <c r="AS17" s="929"/>
      <c r="AT17" s="930" t="s">
        <v>233</v>
      </c>
      <c r="AU17" s="930"/>
      <c r="AV17" s="930"/>
      <c r="AW17" s="930"/>
      <c r="AX17" s="930"/>
      <c r="AY17" s="931" t="s">
        <v>234</v>
      </c>
      <c r="AZ17" s="931"/>
      <c r="BA17" s="931"/>
      <c r="BB17" s="931"/>
      <c r="BC17" s="931"/>
      <c r="BD17" s="856" t="s">
        <v>408</v>
      </c>
      <c r="BE17" s="856"/>
      <c r="BF17" s="856"/>
      <c r="BG17" s="856"/>
      <c r="BH17" s="856"/>
      <c r="BI17" s="857" t="s">
        <v>409</v>
      </c>
      <c r="BJ17" s="857"/>
      <c r="BK17" s="857"/>
      <c r="BL17" s="857"/>
      <c r="BM17" s="857"/>
      <c r="BN17" s="176"/>
      <c r="BO17" s="114"/>
      <c r="BP17" s="925" t="s">
        <v>235</v>
      </c>
      <c r="BQ17" s="925"/>
      <c r="BR17" s="925"/>
      <c r="BS17" s="925"/>
      <c r="BT17" s="925"/>
      <c r="BU17" s="925"/>
      <c r="BV17" s="925"/>
      <c r="BW17" s="925"/>
      <c r="BX17" s="925"/>
      <c r="BY17" s="925"/>
      <c r="BZ17" s="925"/>
      <c r="CA17" s="925" t="s">
        <v>236</v>
      </c>
      <c r="CB17" s="925"/>
      <c r="CC17" s="925"/>
      <c r="CD17" s="925"/>
      <c r="CE17" s="925"/>
      <c r="CF17" s="925"/>
      <c r="CG17" s="925"/>
      <c r="CH17" s="925"/>
      <c r="CI17" s="925"/>
      <c r="CJ17" s="925"/>
      <c r="CK17" s="925"/>
      <c r="CL17" s="925"/>
      <c r="CM17" s="925"/>
      <c r="CN17" s="925"/>
      <c r="CO17" s="925"/>
      <c r="CP17" s="925"/>
      <c r="CQ17" s="925"/>
      <c r="CR17" s="925"/>
      <c r="CS17" s="925"/>
      <c r="CT17" s="925"/>
      <c r="CU17" s="856" t="s">
        <v>408</v>
      </c>
      <c r="CV17" s="856"/>
      <c r="CW17" s="856"/>
      <c r="CX17" s="856"/>
      <c r="CY17" s="856"/>
      <c r="CZ17" s="857" t="s">
        <v>409</v>
      </c>
      <c r="DA17" s="857"/>
      <c r="DB17" s="857"/>
      <c r="DC17" s="857"/>
      <c r="DD17" s="857"/>
    </row>
    <row r="18" spans="1:116" ht="160" customHeight="1">
      <c r="A18" s="934" t="s">
        <v>117</v>
      </c>
      <c r="B18" s="935"/>
      <c r="C18" s="935"/>
      <c r="D18" s="936"/>
      <c r="E18" s="908"/>
      <c r="F18" s="909"/>
      <c r="G18" s="910"/>
      <c r="H18" s="914" t="s">
        <v>251</v>
      </c>
      <c r="I18" s="199" t="s">
        <v>259</v>
      </c>
      <c r="J18" s="199" t="s">
        <v>258</v>
      </c>
      <c r="K18" s="888"/>
      <c r="L18" s="888"/>
      <c r="M18" s="871"/>
      <c r="N18" s="409" t="s">
        <v>275</v>
      </c>
      <c r="O18" s="410" t="s">
        <v>296</v>
      </c>
      <c r="P18" s="284" t="s">
        <v>241</v>
      </c>
      <c r="Q18" s="198" t="s">
        <v>260</v>
      </c>
      <c r="R18" s="198" t="s">
        <v>174</v>
      </c>
      <c r="S18" s="258" t="s">
        <v>261</v>
      </c>
      <c r="T18" s="258" t="s">
        <v>262</v>
      </c>
      <c r="U18" s="259" t="s">
        <v>263</v>
      </c>
      <c r="V18" s="116" t="s">
        <v>128</v>
      </c>
      <c r="W18" s="116" t="s">
        <v>129</v>
      </c>
      <c r="X18" s="177" t="s">
        <v>228</v>
      </c>
      <c r="Y18" t="s">
        <v>370</v>
      </c>
      <c r="Z18" t="s">
        <v>83</v>
      </c>
      <c r="AA18" t="s">
        <v>82</v>
      </c>
      <c r="AB18" t="s">
        <v>227</v>
      </c>
      <c r="AC18" t="s">
        <v>176</v>
      </c>
      <c r="AD18" t="s">
        <v>218</v>
      </c>
      <c r="AE18" t="s">
        <v>219</v>
      </c>
      <c r="AF18" t="s">
        <v>220</v>
      </c>
      <c r="AG18" t="s">
        <v>221</v>
      </c>
      <c r="AH18" t="s">
        <v>222</v>
      </c>
      <c r="AI18" t="s">
        <v>223</v>
      </c>
      <c r="AJ18" s="359" t="s">
        <v>31</v>
      </c>
      <c r="AK18" s="359" t="s">
        <v>32</v>
      </c>
      <c r="AL18" s="359" t="s">
        <v>33</v>
      </c>
      <c r="AM18" s="359" t="s">
        <v>34</v>
      </c>
      <c r="AN18" s="359" t="s">
        <v>35</v>
      </c>
      <c r="AO18" s="360" t="s">
        <v>31</v>
      </c>
      <c r="AP18" s="360" t="s">
        <v>32</v>
      </c>
      <c r="AQ18" s="360" t="s">
        <v>33</v>
      </c>
      <c r="AR18" s="360" t="s">
        <v>34</v>
      </c>
      <c r="AS18" s="360" t="s">
        <v>35</v>
      </c>
      <c r="AT18" s="361" t="s">
        <v>31</v>
      </c>
      <c r="AU18" s="361" t="s">
        <v>32</v>
      </c>
      <c r="AV18" s="361" t="s">
        <v>33</v>
      </c>
      <c r="AW18" s="361" t="s">
        <v>34</v>
      </c>
      <c r="AX18" s="361" t="s">
        <v>35</v>
      </c>
      <c r="AY18" s="362" t="s">
        <v>31</v>
      </c>
      <c r="AZ18" s="362" t="s">
        <v>32</v>
      </c>
      <c r="BA18" s="362" t="s">
        <v>33</v>
      </c>
      <c r="BB18" s="362" t="s">
        <v>34</v>
      </c>
      <c r="BC18" s="362" t="s">
        <v>35</v>
      </c>
      <c r="BD18" s="655" t="s">
        <v>31</v>
      </c>
      <c r="BE18" s="655" t="s">
        <v>32</v>
      </c>
      <c r="BF18" s="655" t="s">
        <v>33</v>
      </c>
      <c r="BG18" s="655" t="s">
        <v>34</v>
      </c>
      <c r="BH18" s="655" t="s">
        <v>35</v>
      </c>
      <c r="BI18" s="654" t="s">
        <v>31</v>
      </c>
      <c r="BJ18" s="654" t="s">
        <v>32</v>
      </c>
      <c r="BK18" s="654" t="s">
        <v>33</v>
      </c>
      <c r="BL18" s="654" t="s">
        <v>34</v>
      </c>
      <c r="BM18" s="654" t="s">
        <v>35</v>
      </c>
      <c r="BN18" t="s">
        <v>239</v>
      </c>
      <c r="BO18" s="124" t="s">
        <v>110</v>
      </c>
      <c r="BP18" s="177" t="s">
        <v>228</v>
      </c>
      <c r="BQ18" t="s">
        <v>370</v>
      </c>
      <c r="BR18" t="s">
        <v>83</v>
      </c>
      <c r="BS18" t="s">
        <v>82</v>
      </c>
      <c r="BT18" t="s">
        <v>227</v>
      </c>
      <c r="BU18" t="s">
        <v>218</v>
      </c>
      <c r="BV18" t="s">
        <v>219</v>
      </c>
      <c r="BW18" t="s">
        <v>220</v>
      </c>
      <c r="BX18" t="s">
        <v>221</v>
      </c>
      <c r="BY18" t="s">
        <v>222</v>
      </c>
      <c r="BZ18" t="s">
        <v>223</v>
      </c>
      <c r="CA18" s="359" t="s">
        <v>31</v>
      </c>
      <c r="CB18" s="359" t="s">
        <v>32</v>
      </c>
      <c r="CC18" s="359" t="s">
        <v>33</v>
      </c>
      <c r="CD18" s="359" t="s">
        <v>34</v>
      </c>
      <c r="CE18" s="359" t="s">
        <v>35</v>
      </c>
      <c r="CF18" s="360" t="s">
        <v>31</v>
      </c>
      <c r="CG18" s="360" t="s">
        <v>32</v>
      </c>
      <c r="CH18" s="360" t="s">
        <v>33</v>
      </c>
      <c r="CI18" s="360" t="s">
        <v>34</v>
      </c>
      <c r="CJ18" s="360" t="s">
        <v>35</v>
      </c>
      <c r="CK18" s="361" t="s">
        <v>31</v>
      </c>
      <c r="CL18" s="361" t="s">
        <v>32</v>
      </c>
      <c r="CM18" s="361" t="s">
        <v>33</v>
      </c>
      <c r="CN18" s="361" t="s">
        <v>34</v>
      </c>
      <c r="CO18" s="361" t="s">
        <v>35</v>
      </c>
      <c r="CP18" s="362" t="s">
        <v>31</v>
      </c>
      <c r="CQ18" s="362" t="s">
        <v>32</v>
      </c>
      <c r="CR18" s="362" t="s">
        <v>33</v>
      </c>
      <c r="CS18" s="362" t="s">
        <v>34</v>
      </c>
      <c r="CT18" s="362" t="s">
        <v>35</v>
      </c>
      <c r="CU18" s="655" t="s">
        <v>31</v>
      </c>
      <c r="CV18" s="655" t="s">
        <v>32</v>
      </c>
      <c r="CW18" s="655" t="s">
        <v>33</v>
      </c>
      <c r="CX18" s="655" t="s">
        <v>34</v>
      </c>
      <c r="CY18" s="655" t="s">
        <v>35</v>
      </c>
      <c r="CZ18" s="654" t="s">
        <v>31</v>
      </c>
      <c r="DA18" s="654" t="s">
        <v>32</v>
      </c>
      <c r="DB18" s="654" t="s">
        <v>33</v>
      </c>
      <c r="DC18" s="654" t="s">
        <v>34</v>
      </c>
      <c r="DD18" s="654" t="s">
        <v>35</v>
      </c>
      <c r="DE18" s="62" t="s">
        <v>240</v>
      </c>
    </row>
    <row r="19" spans="1:116" ht="54" customHeight="1">
      <c r="A19" s="937"/>
      <c r="B19" s="938"/>
      <c r="C19" s="938"/>
      <c r="D19" s="939"/>
      <c r="E19" s="911"/>
      <c r="F19" s="912"/>
      <c r="G19" s="913"/>
      <c r="H19" s="888"/>
      <c r="I19" s="900" t="s">
        <v>147</v>
      </c>
      <c r="J19" s="868"/>
      <c r="K19" s="868"/>
      <c r="L19" s="868"/>
      <c r="M19" s="868"/>
      <c r="N19" s="867" t="s">
        <v>297</v>
      </c>
      <c r="O19" s="893"/>
      <c r="P19" s="867" t="s">
        <v>162</v>
      </c>
      <c r="Q19" s="868"/>
      <c r="R19" s="869"/>
      <c r="S19" s="900" t="s">
        <v>163</v>
      </c>
      <c r="T19" s="868"/>
      <c r="U19" s="893"/>
      <c r="V19" s="116"/>
      <c r="W19" s="116"/>
      <c r="X19" s="177"/>
      <c r="AA19"/>
      <c r="AB19"/>
      <c r="AJ19" s="359"/>
      <c r="AK19" s="359"/>
      <c r="AL19" s="359"/>
      <c r="AM19" s="359"/>
      <c r="AN19" s="359"/>
      <c r="AO19" s="360"/>
      <c r="AP19" s="360"/>
      <c r="AQ19" s="360"/>
      <c r="AR19" s="360"/>
      <c r="AS19" s="360"/>
      <c r="AT19" s="361"/>
      <c r="AU19" s="361"/>
      <c r="AV19" s="361"/>
      <c r="AW19" s="361"/>
      <c r="AX19" s="361"/>
      <c r="AY19" s="362"/>
      <c r="AZ19" s="362"/>
      <c r="BA19" s="362"/>
      <c r="BB19" s="362"/>
      <c r="BC19" s="362"/>
      <c r="BD19" s="655"/>
      <c r="BE19" s="655"/>
      <c r="BF19" s="655"/>
      <c r="BG19" s="655"/>
      <c r="BH19" s="655"/>
      <c r="BI19" s="654"/>
      <c r="BJ19" s="654"/>
      <c r="BK19" s="654"/>
      <c r="BL19" s="654"/>
      <c r="BM19" s="654"/>
      <c r="BO19" s="124"/>
      <c r="BP19" s="177"/>
      <c r="BS19"/>
      <c r="BT19"/>
      <c r="CA19" s="359"/>
      <c r="CB19" s="359"/>
      <c r="CC19" s="359"/>
      <c r="CD19" s="359"/>
      <c r="CE19" s="359"/>
      <c r="CF19" s="360"/>
      <c r="CG19" s="360"/>
      <c r="CH19" s="360"/>
      <c r="CI19" s="360"/>
      <c r="CJ19" s="360"/>
      <c r="CK19" s="361"/>
      <c r="CL19" s="361"/>
      <c r="CM19" s="361"/>
      <c r="CN19" s="361"/>
      <c r="CO19" s="361"/>
      <c r="CP19" s="362"/>
      <c r="CQ19" s="362"/>
      <c r="CR19" s="362"/>
      <c r="CS19" s="362"/>
      <c r="CT19" s="362"/>
      <c r="CU19" s="655"/>
      <c r="CV19" s="655"/>
      <c r="CW19" s="655"/>
      <c r="CX19" s="655"/>
      <c r="CY19" s="655"/>
      <c r="CZ19" s="654"/>
      <c r="DA19" s="654"/>
      <c r="DB19" s="654"/>
      <c r="DC19" s="654"/>
      <c r="DD19" s="654"/>
      <c r="DE19" s="62"/>
      <c r="DF19" t="s">
        <v>191</v>
      </c>
      <c r="DG19" t="s">
        <v>192</v>
      </c>
      <c r="DH19" t="s">
        <v>193</v>
      </c>
    </row>
    <row r="20" spans="1:116">
      <c r="A20" s="135">
        <f>IF(ISNUMBER(A18),A18+1,1)</f>
        <v>1</v>
      </c>
      <c r="B20" s="72" t="str">
        <f t="shared" ref="B20:B50" si="0">CHOOSE(MOD(WEEKDAY(DATE(A$17,A$2,A20)),7)+1,"lø","sø","ma","ti","on","to","fr",)</f>
        <v>fr</v>
      </c>
      <c r="C20" s="73" t="s">
        <v>217</v>
      </c>
      <c r="D20" s="74" t="str">
        <f t="shared" ref="D20:D50" si="1">IF(B20="ma",(DATE(A$17,A$2,A20)-DATE(A$17,1,1)+7)/7,"")</f>
        <v/>
      </c>
      <c r="E20" s="858"/>
      <c r="F20" s="859"/>
      <c r="G20" s="860"/>
      <c r="H20" s="175"/>
      <c r="I20" s="221"/>
      <c r="J20" s="221"/>
      <c r="K20" s="191">
        <f>BN20</f>
        <v>0</v>
      </c>
      <c r="L20" s="191">
        <f>DE20</f>
        <v>0</v>
      </c>
      <c r="M20" s="238"/>
      <c r="N20" s="357"/>
      <c r="O20" s="408"/>
      <c r="P20" s="407"/>
      <c r="Q20" s="196"/>
      <c r="R20" s="196"/>
      <c r="S20" s="192"/>
      <c r="T20" s="255"/>
      <c r="U20" s="193"/>
      <c r="V20">
        <f>IF($P$20="x",S20-K20,0)</f>
        <v>0</v>
      </c>
      <c r="W20">
        <f t="shared" ref="W20:W50" si="2">IF(Q20="x",T20-L20,0)</f>
        <v>0</v>
      </c>
      <c r="X20" s="358">
        <f>IF($C$20="Anderledes dag",$I$20,0)</f>
        <v>0</v>
      </c>
      <c r="Y20" s="358">
        <f>IF(C20="Ferieåbning",I20,0)</f>
        <v>0</v>
      </c>
      <c r="Z20" s="358">
        <f t="shared" ref="Z20:Z50" si="3">IF(C20="Pæd.dag",I20,0)</f>
        <v>0</v>
      </c>
      <c r="AA20" s="358">
        <f>IF($C$20="Ekskursion",$I$20,0)</f>
        <v>0</v>
      </c>
      <c r="AB20" s="358">
        <f>IF($C$20="Koloni",$I$20,0)</f>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SUM(X20:BM20)</f>
        <v>0</v>
      </c>
      <c r="BO20" s="125">
        <f t="shared" ref="BO20:BO50" si="4">SUM(AJ20:AN20)*24</f>
        <v>0</v>
      </c>
      <c r="BP20" s="358">
        <f>IF(C20="Anderledes dag",J20,0)</f>
        <v>0</v>
      </c>
      <c r="BQ20" s="358">
        <f>IF(C20="Ferieåbning",J20,0)</f>
        <v>0</v>
      </c>
      <c r="BR20" s="358">
        <f t="shared" ref="BR20:BR50" si="5">IF(C20="Pæd.dag",J20,0)</f>
        <v>0</v>
      </c>
      <c r="BS20" s="358">
        <f t="shared" ref="BS20:BS50" si="6">IF(C20="Ekskursion",J20,0)</f>
        <v>0</v>
      </c>
      <c r="BT20" s="358">
        <f t="shared" ref="BT20:BT50" si="7">IF(C20="Koloni",J20,0)</f>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SUM(BP20:DD20)</f>
        <v>0</v>
      </c>
      <c r="DF20" t="str">
        <f t="shared" ref="DF20:DF50" si="8">IF(AND(E20&gt;0,H20&gt;0),""&amp;E20&amp;" og "&amp;H20&amp;"","")</f>
        <v/>
      </c>
      <c r="DG20">
        <f t="shared" ref="DG20:DG50" si="9">IF(H20="",E20,"")</f>
        <v>0</v>
      </c>
      <c r="DH20">
        <f t="shared" ref="DH20:DH50" si="10">IF(E20="",H20,"")</f>
        <v>0</v>
      </c>
      <c r="DI20" t="str">
        <f t="shared" ref="DI20:DJ51" si="11">IF(DF20=0,"",DF20)</f>
        <v/>
      </c>
      <c r="DJ20" t="str">
        <f>IF(DG20=0,"",DG20)</f>
        <v/>
      </c>
      <c r="DK20" t="str">
        <f>IF(DH20=0,"",DH20)</f>
        <v/>
      </c>
      <c r="DL20" t="str">
        <f>DI20&amp;""&amp;DJ20&amp;""&amp;DK20</f>
        <v/>
      </c>
    </row>
    <row r="21" spans="1:116">
      <c r="A21" s="135">
        <f t="shared" ref="A21:A49" si="12">IF(ISNUMBER(A20),A20+1,1)</f>
        <v>2</v>
      </c>
      <c r="B21" s="72" t="str">
        <f t="shared" si="0"/>
        <v>lø</v>
      </c>
      <c r="C21" s="73" t="s">
        <v>77</v>
      </c>
      <c r="D21" s="74" t="str">
        <f t="shared" si="1"/>
        <v/>
      </c>
      <c r="E21" s="858"/>
      <c r="F21" s="859"/>
      <c r="G21" s="860"/>
      <c r="H21" s="175"/>
      <c r="I21" s="221"/>
      <c r="J21" s="221"/>
      <c r="K21" s="191">
        <f>BN21</f>
        <v>0</v>
      </c>
      <c r="L21" s="191">
        <f t="shared" ref="L21:L50" si="13">DE21</f>
        <v>0</v>
      </c>
      <c r="M21" s="238"/>
      <c r="N21" s="357"/>
      <c r="O21" s="408"/>
      <c r="P21" s="407"/>
      <c r="Q21" s="196"/>
      <c r="R21" s="196"/>
      <c r="S21" s="192"/>
      <c r="T21" s="255"/>
      <c r="U21" s="193"/>
      <c r="V21">
        <f t="shared" ref="V21:V50" si="14">IF(P21="x",S21-K21,0)</f>
        <v>0</v>
      </c>
      <c r="W21">
        <f t="shared" si="2"/>
        <v>0</v>
      </c>
      <c r="X21" s="358">
        <f t="shared" ref="X21:X50" si="15">IF(C21="Anderledes dag",I21,0)</f>
        <v>0</v>
      </c>
      <c r="Y21" s="358">
        <f t="shared" ref="Y21:Y50" si="16">IF(C21="Ferieåbning",I21,0)</f>
        <v>0</v>
      </c>
      <c r="Z21" s="358">
        <f t="shared" si="3"/>
        <v>0</v>
      </c>
      <c r="AA21" s="358">
        <f t="shared" ref="AA21:AA50" si="17">IF(C21="Ekskursion",I21,0)</f>
        <v>0</v>
      </c>
      <c r="AB21" s="358">
        <f t="shared" ref="AB21:AB50" si="18">IF(C21="Koloni",I21,0)</f>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ref="BN21:BN50" si="19">SUM(X21:BM21)</f>
        <v>0</v>
      </c>
      <c r="BO21" s="125">
        <f t="shared" si="4"/>
        <v>0</v>
      </c>
      <c r="BP21" s="358">
        <f t="shared" ref="BP21:BP50" si="20">IF(C21="Anderledes dag",J21,0)</f>
        <v>0</v>
      </c>
      <c r="BQ21" s="358">
        <f t="shared" ref="BQ21:BQ50" si="21">IF(C21="Ferieåbning",J21,0)</f>
        <v>0</v>
      </c>
      <c r="BR21" s="358">
        <f t="shared" si="5"/>
        <v>0</v>
      </c>
      <c r="BS21" s="358">
        <f t="shared" si="6"/>
        <v>0</v>
      </c>
      <c r="BT21" s="358">
        <f t="shared" si="7"/>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ref="DE21:DE50" si="22">SUM(BP21:DD21)</f>
        <v>0</v>
      </c>
      <c r="DF21" t="str">
        <f t="shared" si="8"/>
        <v/>
      </c>
      <c r="DG21">
        <f t="shared" si="9"/>
        <v>0</v>
      </c>
      <c r="DH21">
        <f t="shared" si="10"/>
        <v>0</v>
      </c>
      <c r="DI21" t="str">
        <f t="shared" si="11"/>
        <v/>
      </c>
      <c r="DJ21" t="str">
        <f t="shared" si="11"/>
        <v/>
      </c>
      <c r="DK21" t="str">
        <f t="shared" ref="DK21:DK51" si="23">IF(DH21=0,"",DH21)</f>
        <v/>
      </c>
      <c r="DL21" t="str">
        <f t="shared" ref="DL21:DL50" si="24">DI21&amp;""&amp;DJ21&amp;""&amp;DK21</f>
        <v/>
      </c>
    </row>
    <row r="22" spans="1:116">
      <c r="A22" s="135">
        <f t="shared" si="12"/>
        <v>3</v>
      </c>
      <c r="B22" s="72" t="str">
        <f t="shared" si="0"/>
        <v>sø</v>
      </c>
      <c r="C22" s="73" t="s">
        <v>77</v>
      </c>
      <c r="D22" s="74" t="str">
        <f t="shared" si="1"/>
        <v/>
      </c>
      <c r="E22" s="858"/>
      <c r="F22" s="859"/>
      <c r="G22" s="860"/>
      <c r="H22" s="175"/>
      <c r="I22" s="221"/>
      <c r="J22" s="221"/>
      <c r="K22" s="191">
        <f t="shared" ref="K22:K50" si="25">BN22</f>
        <v>0</v>
      </c>
      <c r="L22" s="191">
        <f t="shared" si="13"/>
        <v>0</v>
      </c>
      <c r="M22" s="238"/>
      <c r="N22" s="357"/>
      <c r="O22" s="408"/>
      <c r="P22" s="407"/>
      <c r="Q22" s="196"/>
      <c r="R22" s="196"/>
      <c r="S22" s="192"/>
      <c r="T22" s="255"/>
      <c r="U22" s="193"/>
      <c r="V22">
        <f t="shared" si="14"/>
        <v>0</v>
      </c>
      <c r="W22">
        <f t="shared" si="2"/>
        <v>0</v>
      </c>
      <c r="X22" s="358">
        <f t="shared" si="15"/>
        <v>0</v>
      </c>
      <c r="Y22" s="358">
        <f t="shared" si="16"/>
        <v>0</v>
      </c>
      <c r="Z22" s="358">
        <f t="shared" si="3"/>
        <v>0</v>
      </c>
      <c r="AA22" s="358">
        <f t="shared" si="17"/>
        <v>0</v>
      </c>
      <c r="AB22" s="358">
        <f t="shared" si="18"/>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19"/>
        <v>0</v>
      </c>
      <c r="BO22" s="125">
        <f t="shared" si="4"/>
        <v>0</v>
      </c>
      <c r="BP22" s="358">
        <f t="shared" si="20"/>
        <v>0</v>
      </c>
      <c r="BQ22" s="358">
        <f t="shared" si="21"/>
        <v>0</v>
      </c>
      <c r="BR22" s="358">
        <f t="shared" si="5"/>
        <v>0</v>
      </c>
      <c r="BS22" s="358">
        <f t="shared" si="6"/>
        <v>0</v>
      </c>
      <c r="BT22" s="358">
        <f t="shared" si="7"/>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2"/>
        <v>0</v>
      </c>
      <c r="DF22" t="str">
        <f t="shared" si="8"/>
        <v/>
      </c>
      <c r="DG22">
        <f t="shared" si="9"/>
        <v>0</v>
      </c>
      <c r="DH22">
        <f t="shared" si="10"/>
        <v>0</v>
      </c>
      <c r="DI22" t="str">
        <f t="shared" si="11"/>
        <v/>
      </c>
      <c r="DJ22" t="str">
        <f t="shared" si="11"/>
        <v/>
      </c>
      <c r="DK22" t="str">
        <f t="shared" si="23"/>
        <v/>
      </c>
      <c r="DL22" t="str">
        <f t="shared" si="24"/>
        <v/>
      </c>
    </row>
    <row r="23" spans="1:116" ht="16" customHeight="1">
      <c r="A23" s="135">
        <f t="shared" si="12"/>
        <v>4</v>
      </c>
      <c r="B23" s="72" t="str">
        <f t="shared" si="0"/>
        <v>ma</v>
      </c>
      <c r="C23" s="73" t="s">
        <v>217</v>
      </c>
      <c r="D23" s="74">
        <f t="shared" si="1"/>
        <v>31.714285714285715</v>
      </c>
      <c r="E23" s="861"/>
      <c r="F23" s="862"/>
      <c r="G23" s="863"/>
      <c r="H23" s="175"/>
      <c r="I23" s="221"/>
      <c r="J23" s="221"/>
      <c r="K23" s="191">
        <f t="shared" si="25"/>
        <v>0</v>
      </c>
      <c r="L23" s="191">
        <f t="shared" si="13"/>
        <v>0</v>
      </c>
      <c r="M23" s="238"/>
      <c r="N23" s="357"/>
      <c r="O23" s="408"/>
      <c r="P23" s="407"/>
      <c r="Q23" s="196"/>
      <c r="R23" s="196"/>
      <c r="S23" s="192"/>
      <c r="T23" s="255"/>
      <c r="U23" s="193"/>
      <c r="V23">
        <f t="shared" si="14"/>
        <v>0</v>
      </c>
      <c r="W23">
        <f t="shared" si="2"/>
        <v>0</v>
      </c>
      <c r="X23" s="358">
        <f t="shared" si="15"/>
        <v>0</v>
      </c>
      <c r="Y23" s="358">
        <f t="shared" si="16"/>
        <v>0</v>
      </c>
      <c r="Z23" s="358">
        <f t="shared" si="3"/>
        <v>0</v>
      </c>
      <c r="AA23" s="358">
        <f t="shared" si="17"/>
        <v>0</v>
      </c>
      <c r="AB23" s="358">
        <f t="shared" si="18"/>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19"/>
        <v>0</v>
      </c>
      <c r="BO23" s="125">
        <f t="shared" si="4"/>
        <v>0</v>
      </c>
      <c r="BP23" s="358">
        <f t="shared" si="20"/>
        <v>0</v>
      </c>
      <c r="BQ23" s="358">
        <f t="shared" si="21"/>
        <v>0</v>
      </c>
      <c r="BR23" s="358">
        <f t="shared" si="5"/>
        <v>0</v>
      </c>
      <c r="BS23" s="358">
        <f t="shared" si="6"/>
        <v>0</v>
      </c>
      <c r="BT23" s="358">
        <f t="shared" si="7"/>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2"/>
        <v>0</v>
      </c>
      <c r="DF23" t="str">
        <f t="shared" si="8"/>
        <v/>
      </c>
      <c r="DG23">
        <f t="shared" si="9"/>
        <v>0</v>
      </c>
      <c r="DH23">
        <f t="shared" si="10"/>
        <v>0</v>
      </c>
      <c r="DI23" t="str">
        <f t="shared" si="11"/>
        <v/>
      </c>
      <c r="DJ23" t="str">
        <f t="shared" si="11"/>
        <v/>
      </c>
      <c r="DK23" t="str">
        <f t="shared" si="23"/>
        <v/>
      </c>
      <c r="DL23" t="str">
        <f t="shared" si="24"/>
        <v/>
      </c>
    </row>
    <row r="24" spans="1:116" ht="16" customHeight="1">
      <c r="A24" s="135">
        <f t="shared" si="12"/>
        <v>5</v>
      </c>
      <c r="B24" s="72" t="str">
        <f t="shared" si="0"/>
        <v>ti</v>
      </c>
      <c r="C24" s="73" t="s">
        <v>217</v>
      </c>
      <c r="D24" s="74" t="str">
        <f t="shared" si="1"/>
        <v/>
      </c>
      <c r="E24" s="861"/>
      <c r="F24" s="862"/>
      <c r="G24" s="863"/>
      <c r="H24" s="175"/>
      <c r="I24" s="221"/>
      <c r="J24" s="221"/>
      <c r="K24" s="191">
        <f t="shared" si="25"/>
        <v>0</v>
      </c>
      <c r="L24" s="191">
        <f t="shared" si="13"/>
        <v>0</v>
      </c>
      <c r="M24" s="238"/>
      <c r="N24" s="357"/>
      <c r="O24" s="408"/>
      <c r="P24" s="407"/>
      <c r="Q24" s="196"/>
      <c r="R24" s="196"/>
      <c r="S24" s="192"/>
      <c r="T24" s="255"/>
      <c r="U24" s="193"/>
      <c r="V24">
        <f t="shared" si="14"/>
        <v>0</v>
      </c>
      <c r="W24">
        <f t="shared" si="2"/>
        <v>0</v>
      </c>
      <c r="X24" s="358">
        <f t="shared" si="15"/>
        <v>0</v>
      </c>
      <c r="Y24" s="358">
        <f t="shared" si="16"/>
        <v>0</v>
      </c>
      <c r="Z24" s="358">
        <f t="shared" si="3"/>
        <v>0</v>
      </c>
      <c r="AA24" s="358">
        <f t="shared" si="17"/>
        <v>0</v>
      </c>
      <c r="AB24" s="358">
        <f t="shared" si="18"/>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19"/>
        <v>0</v>
      </c>
      <c r="BO24" s="125">
        <f t="shared" si="4"/>
        <v>0</v>
      </c>
      <c r="BP24" s="358">
        <f t="shared" si="20"/>
        <v>0</v>
      </c>
      <c r="BQ24" s="358">
        <f t="shared" si="21"/>
        <v>0</v>
      </c>
      <c r="BR24" s="358">
        <f t="shared" si="5"/>
        <v>0</v>
      </c>
      <c r="BS24" s="358">
        <f t="shared" si="6"/>
        <v>0</v>
      </c>
      <c r="BT24" s="358">
        <f t="shared" si="7"/>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2"/>
        <v>0</v>
      </c>
      <c r="DF24" t="str">
        <f t="shared" si="8"/>
        <v/>
      </c>
      <c r="DG24">
        <f t="shared" si="9"/>
        <v>0</v>
      </c>
      <c r="DH24">
        <f t="shared" si="10"/>
        <v>0</v>
      </c>
      <c r="DI24" t="str">
        <f t="shared" si="11"/>
        <v/>
      </c>
      <c r="DJ24" t="str">
        <f t="shared" si="11"/>
        <v/>
      </c>
      <c r="DK24" t="str">
        <f t="shared" si="23"/>
        <v/>
      </c>
      <c r="DL24" t="str">
        <f t="shared" si="24"/>
        <v/>
      </c>
    </row>
    <row r="25" spans="1:116" ht="16" customHeight="1">
      <c r="A25" s="135">
        <f t="shared" si="12"/>
        <v>6</v>
      </c>
      <c r="B25" s="72" t="str">
        <f t="shared" si="0"/>
        <v>on</v>
      </c>
      <c r="C25" s="73" t="s">
        <v>217</v>
      </c>
      <c r="D25" s="74" t="str">
        <f t="shared" si="1"/>
        <v/>
      </c>
      <c r="E25" s="861"/>
      <c r="F25" s="862"/>
      <c r="G25" s="863"/>
      <c r="H25" s="175"/>
      <c r="I25" s="221"/>
      <c r="J25" s="221"/>
      <c r="K25" s="191">
        <f t="shared" si="25"/>
        <v>0</v>
      </c>
      <c r="L25" s="191">
        <f t="shared" si="13"/>
        <v>0</v>
      </c>
      <c r="M25" s="238"/>
      <c r="N25" s="357"/>
      <c r="O25" s="408"/>
      <c r="P25" s="407"/>
      <c r="Q25" s="196"/>
      <c r="R25" s="196"/>
      <c r="S25" s="192"/>
      <c r="T25" s="255"/>
      <c r="U25" s="193"/>
      <c r="V25">
        <f t="shared" si="14"/>
        <v>0</v>
      </c>
      <c r="W25">
        <f t="shared" si="2"/>
        <v>0</v>
      </c>
      <c r="X25" s="358">
        <f t="shared" si="15"/>
        <v>0</v>
      </c>
      <c r="Y25" s="358">
        <f t="shared" si="16"/>
        <v>0</v>
      </c>
      <c r="Z25" s="358">
        <f t="shared" si="3"/>
        <v>0</v>
      </c>
      <c r="AA25" s="358">
        <f t="shared" si="17"/>
        <v>0</v>
      </c>
      <c r="AB25" s="358">
        <f t="shared" si="18"/>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19"/>
        <v>0</v>
      </c>
      <c r="BO25" s="125">
        <f t="shared" si="4"/>
        <v>0</v>
      </c>
      <c r="BP25" s="358">
        <f t="shared" si="20"/>
        <v>0</v>
      </c>
      <c r="BQ25" s="358">
        <f t="shared" si="21"/>
        <v>0</v>
      </c>
      <c r="BR25" s="358">
        <f t="shared" si="5"/>
        <v>0</v>
      </c>
      <c r="BS25" s="358">
        <f t="shared" si="6"/>
        <v>0</v>
      </c>
      <c r="BT25" s="358">
        <f t="shared" si="7"/>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2"/>
        <v>0</v>
      </c>
      <c r="DF25" t="str">
        <f t="shared" si="8"/>
        <v/>
      </c>
      <c r="DG25">
        <f t="shared" si="9"/>
        <v>0</v>
      </c>
      <c r="DH25">
        <f t="shared" si="10"/>
        <v>0</v>
      </c>
      <c r="DI25" t="str">
        <f t="shared" si="11"/>
        <v/>
      </c>
      <c r="DJ25" t="str">
        <f t="shared" si="11"/>
        <v/>
      </c>
      <c r="DK25" t="str">
        <f t="shared" si="23"/>
        <v/>
      </c>
      <c r="DL25" t="str">
        <f t="shared" si="24"/>
        <v/>
      </c>
    </row>
    <row r="26" spans="1:116" ht="16" customHeight="1">
      <c r="A26" s="135">
        <f t="shared" si="12"/>
        <v>7</v>
      </c>
      <c r="B26" s="72" t="str">
        <f t="shared" si="0"/>
        <v>to</v>
      </c>
      <c r="C26" s="73" t="s">
        <v>217</v>
      </c>
      <c r="D26" s="74" t="str">
        <f t="shared" si="1"/>
        <v/>
      </c>
      <c r="E26" s="858"/>
      <c r="F26" s="859"/>
      <c r="G26" s="860"/>
      <c r="H26" s="175"/>
      <c r="I26" s="221"/>
      <c r="J26" s="221"/>
      <c r="K26" s="191">
        <f t="shared" si="25"/>
        <v>0</v>
      </c>
      <c r="L26" s="191">
        <f t="shared" si="13"/>
        <v>0</v>
      </c>
      <c r="M26" s="238"/>
      <c r="N26" s="357"/>
      <c r="O26" s="408"/>
      <c r="P26" s="407"/>
      <c r="Q26" s="196"/>
      <c r="R26" s="196"/>
      <c r="S26" s="192"/>
      <c r="T26" s="255"/>
      <c r="U26" s="193"/>
      <c r="V26">
        <f t="shared" si="14"/>
        <v>0</v>
      </c>
      <c r="W26">
        <f t="shared" si="2"/>
        <v>0</v>
      </c>
      <c r="X26" s="358">
        <f t="shared" si="15"/>
        <v>0</v>
      </c>
      <c r="Y26" s="358">
        <f t="shared" si="16"/>
        <v>0</v>
      </c>
      <c r="Z26" s="358">
        <f t="shared" si="3"/>
        <v>0</v>
      </c>
      <c r="AA26" s="358">
        <f t="shared" si="17"/>
        <v>0</v>
      </c>
      <c r="AB26" s="358">
        <f t="shared" si="18"/>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19"/>
        <v>0</v>
      </c>
      <c r="BO26" s="125">
        <f t="shared" si="4"/>
        <v>0</v>
      </c>
      <c r="BP26" s="358">
        <f t="shared" si="20"/>
        <v>0</v>
      </c>
      <c r="BQ26" s="358">
        <f t="shared" si="21"/>
        <v>0</v>
      </c>
      <c r="BR26" s="358">
        <f t="shared" si="5"/>
        <v>0</v>
      </c>
      <c r="BS26" s="358">
        <f t="shared" si="6"/>
        <v>0</v>
      </c>
      <c r="BT26" s="358">
        <f t="shared" si="7"/>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2"/>
        <v>0</v>
      </c>
      <c r="DF26" t="str">
        <f t="shared" si="8"/>
        <v/>
      </c>
      <c r="DG26">
        <f t="shared" si="9"/>
        <v>0</v>
      </c>
      <c r="DH26">
        <f t="shared" si="10"/>
        <v>0</v>
      </c>
      <c r="DI26" t="str">
        <f t="shared" si="11"/>
        <v/>
      </c>
      <c r="DJ26" t="str">
        <f t="shared" si="11"/>
        <v/>
      </c>
      <c r="DK26" t="str">
        <f t="shared" si="23"/>
        <v/>
      </c>
      <c r="DL26" t="str">
        <f t="shared" si="24"/>
        <v/>
      </c>
    </row>
    <row r="27" spans="1:116">
      <c r="A27" s="135">
        <f t="shared" si="12"/>
        <v>8</v>
      </c>
      <c r="B27" s="72" t="str">
        <f t="shared" si="0"/>
        <v>fr</v>
      </c>
      <c r="C27" s="73" t="s">
        <v>217</v>
      </c>
      <c r="D27" s="74" t="str">
        <f t="shared" si="1"/>
        <v/>
      </c>
      <c r="E27" s="858"/>
      <c r="F27" s="859"/>
      <c r="G27" s="860"/>
      <c r="H27" s="175"/>
      <c r="I27" s="221"/>
      <c r="J27" s="221"/>
      <c r="K27" s="191">
        <f t="shared" si="25"/>
        <v>0</v>
      </c>
      <c r="L27" s="191">
        <f t="shared" si="13"/>
        <v>0</v>
      </c>
      <c r="M27" s="238"/>
      <c r="N27" s="357"/>
      <c r="O27" s="408"/>
      <c r="P27" s="407"/>
      <c r="Q27" s="196"/>
      <c r="R27" s="196"/>
      <c r="S27" s="192"/>
      <c r="T27" s="255"/>
      <c r="U27" s="193"/>
      <c r="V27">
        <f t="shared" si="14"/>
        <v>0</v>
      </c>
      <c r="W27">
        <f t="shared" si="2"/>
        <v>0</v>
      </c>
      <c r="X27" s="358">
        <f t="shared" si="15"/>
        <v>0</v>
      </c>
      <c r="Y27" s="358">
        <f t="shared" si="16"/>
        <v>0</v>
      </c>
      <c r="Z27" s="358">
        <f t="shared" si="3"/>
        <v>0</v>
      </c>
      <c r="AA27" s="358">
        <f t="shared" si="17"/>
        <v>0</v>
      </c>
      <c r="AB27" s="358">
        <f t="shared" si="18"/>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19"/>
        <v>0</v>
      </c>
      <c r="BO27" s="125">
        <f t="shared" si="4"/>
        <v>0</v>
      </c>
      <c r="BP27" s="358">
        <f t="shared" si="20"/>
        <v>0</v>
      </c>
      <c r="BQ27" s="358">
        <f t="shared" si="21"/>
        <v>0</v>
      </c>
      <c r="BR27" s="358">
        <f t="shared" si="5"/>
        <v>0</v>
      </c>
      <c r="BS27" s="358">
        <f t="shared" si="6"/>
        <v>0</v>
      </c>
      <c r="BT27" s="358">
        <f t="shared" si="7"/>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2"/>
        <v>0</v>
      </c>
      <c r="DF27" t="str">
        <f t="shared" si="8"/>
        <v/>
      </c>
      <c r="DG27">
        <f t="shared" si="9"/>
        <v>0</v>
      </c>
      <c r="DH27">
        <f t="shared" si="10"/>
        <v>0</v>
      </c>
      <c r="DI27" t="str">
        <f t="shared" si="11"/>
        <v/>
      </c>
      <c r="DJ27" t="str">
        <f t="shared" si="11"/>
        <v/>
      </c>
      <c r="DK27" t="str">
        <f t="shared" si="23"/>
        <v/>
      </c>
      <c r="DL27" t="str">
        <f t="shared" si="24"/>
        <v/>
      </c>
    </row>
    <row r="28" spans="1:116">
      <c r="A28" s="135">
        <f t="shared" si="12"/>
        <v>9</v>
      </c>
      <c r="B28" s="72" t="str">
        <f t="shared" si="0"/>
        <v>lø</v>
      </c>
      <c r="C28" s="73" t="s">
        <v>77</v>
      </c>
      <c r="D28" s="74" t="str">
        <f t="shared" si="1"/>
        <v/>
      </c>
      <c r="E28" s="858"/>
      <c r="F28" s="859"/>
      <c r="G28" s="860"/>
      <c r="H28" s="175"/>
      <c r="I28" s="221"/>
      <c r="J28" s="221"/>
      <c r="K28" s="191">
        <f t="shared" si="25"/>
        <v>0</v>
      </c>
      <c r="L28" s="191">
        <f t="shared" si="13"/>
        <v>0</v>
      </c>
      <c r="M28" s="238"/>
      <c r="N28" s="357"/>
      <c r="O28" s="408"/>
      <c r="P28" s="407"/>
      <c r="Q28" s="196"/>
      <c r="R28" s="196"/>
      <c r="S28" s="192"/>
      <c r="T28" s="255"/>
      <c r="U28" s="193"/>
      <c r="V28">
        <f t="shared" si="14"/>
        <v>0</v>
      </c>
      <c r="W28">
        <f t="shared" si="2"/>
        <v>0</v>
      </c>
      <c r="X28" s="358">
        <f t="shared" si="15"/>
        <v>0</v>
      </c>
      <c r="Y28" s="358">
        <f t="shared" si="16"/>
        <v>0</v>
      </c>
      <c r="Z28" s="358">
        <f t="shared" si="3"/>
        <v>0</v>
      </c>
      <c r="AA28" s="358">
        <f t="shared" si="17"/>
        <v>0</v>
      </c>
      <c r="AB28" s="358">
        <f t="shared" si="18"/>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19"/>
        <v>0</v>
      </c>
      <c r="BO28" s="125">
        <f t="shared" si="4"/>
        <v>0</v>
      </c>
      <c r="BP28" s="358">
        <f t="shared" si="20"/>
        <v>0</v>
      </c>
      <c r="BQ28" s="358">
        <f t="shared" si="21"/>
        <v>0</v>
      </c>
      <c r="BR28" s="358">
        <f t="shared" si="5"/>
        <v>0</v>
      </c>
      <c r="BS28" s="358">
        <f t="shared" si="6"/>
        <v>0</v>
      </c>
      <c r="BT28" s="358">
        <f t="shared" si="7"/>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2"/>
        <v>0</v>
      </c>
      <c r="DF28" t="str">
        <f t="shared" si="8"/>
        <v/>
      </c>
      <c r="DG28">
        <f t="shared" si="9"/>
        <v>0</v>
      </c>
      <c r="DH28">
        <f t="shared" si="10"/>
        <v>0</v>
      </c>
      <c r="DI28" t="str">
        <f t="shared" si="11"/>
        <v/>
      </c>
      <c r="DJ28" t="str">
        <f t="shared" si="11"/>
        <v/>
      </c>
      <c r="DK28" t="str">
        <f t="shared" si="23"/>
        <v/>
      </c>
      <c r="DL28" t="str">
        <f t="shared" si="24"/>
        <v/>
      </c>
    </row>
    <row r="29" spans="1:116">
      <c r="A29" s="135">
        <f t="shared" si="12"/>
        <v>10</v>
      </c>
      <c r="B29" s="72" t="str">
        <f t="shared" si="0"/>
        <v>sø</v>
      </c>
      <c r="C29" s="73" t="s">
        <v>77</v>
      </c>
      <c r="D29" s="74" t="str">
        <f t="shared" si="1"/>
        <v/>
      </c>
      <c r="E29" s="858"/>
      <c r="F29" s="859"/>
      <c r="G29" s="860"/>
      <c r="H29" s="175"/>
      <c r="I29" s="221"/>
      <c r="J29" s="221"/>
      <c r="K29" s="191">
        <f t="shared" si="25"/>
        <v>0</v>
      </c>
      <c r="L29" s="191">
        <f t="shared" si="13"/>
        <v>0</v>
      </c>
      <c r="M29" s="238"/>
      <c r="N29" s="357"/>
      <c r="O29" s="408"/>
      <c r="P29" s="407"/>
      <c r="Q29" s="196"/>
      <c r="R29" s="196"/>
      <c r="S29" s="192"/>
      <c r="T29" s="255"/>
      <c r="U29" s="193"/>
      <c r="V29">
        <f t="shared" si="14"/>
        <v>0</v>
      </c>
      <c r="W29">
        <f t="shared" si="2"/>
        <v>0</v>
      </c>
      <c r="X29" s="358">
        <f t="shared" si="15"/>
        <v>0</v>
      </c>
      <c r="Y29" s="358">
        <f t="shared" si="16"/>
        <v>0</v>
      </c>
      <c r="Z29" s="358">
        <f t="shared" si="3"/>
        <v>0</v>
      </c>
      <c r="AA29" s="358">
        <f t="shared" si="17"/>
        <v>0</v>
      </c>
      <c r="AB29" s="358">
        <f t="shared" si="18"/>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19"/>
        <v>0</v>
      </c>
      <c r="BO29" s="125">
        <f t="shared" si="4"/>
        <v>0</v>
      </c>
      <c r="BP29" s="358">
        <f t="shared" si="20"/>
        <v>0</v>
      </c>
      <c r="BQ29" s="358">
        <f t="shared" si="21"/>
        <v>0</v>
      </c>
      <c r="BR29" s="358">
        <f t="shared" si="5"/>
        <v>0</v>
      </c>
      <c r="BS29" s="358">
        <f t="shared" si="6"/>
        <v>0</v>
      </c>
      <c r="BT29" s="358">
        <f t="shared" si="7"/>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2"/>
        <v>0</v>
      </c>
      <c r="DF29" t="str">
        <f t="shared" si="8"/>
        <v/>
      </c>
      <c r="DG29">
        <f t="shared" si="9"/>
        <v>0</v>
      </c>
      <c r="DH29">
        <f t="shared" si="10"/>
        <v>0</v>
      </c>
      <c r="DI29" t="str">
        <f t="shared" si="11"/>
        <v/>
      </c>
      <c r="DJ29" t="str">
        <f t="shared" si="11"/>
        <v/>
      </c>
      <c r="DK29" t="str">
        <f t="shared" si="23"/>
        <v/>
      </c>
      <c r="DL29" t="str">
        <f t="shared" si="24"/>
        <v/>
      </c>
    </row>
    <row r="30" spans="1:116">
      <c r="A30" s="135">
        <f t="shared" si="12"/>
        <v>11</v>
      </c>
      <c r="B30" s="72" t="str">
        <f t="shared" si="0"/>
        <v>ma</v>
      </c>
      <c r="C30" s="73" t="s">
        <v>217</v>
      </c>
      <c r="D30" s="74">
        <f t="shared" si="1"/>
        <v>32.714285714285715</v>
      </c>
      <c r="E30" s="858"/>
      <c r="F30" s="859"/>
      <c r="G30" s="860"/>
      <c r="H30" s="175"/>
      <c r="I30" s="221"/>
      <c r="J30" s="221"/>
      <c r="K30" s="191">
        <f t="shared" si="25"/>
        <v>0</v>
      </c>
      <c r="L30" s="191">
        <f t="shared" si="13"/>
        <v>0</v>
      </c>
      <c r="M30" s="238"/>
      <c r="N30" s="357"/>
      <c r="O30" s="408"/>
      <c r="P30" s="407"/>
      <c r="Q30" s="196"/>
      <c r="R30" s="196"/>
      <c r="S30" s="192"/>
      <c r="T30" s="255"/>
      <c r="U30" s="193"/>
      <c r="V30">
        <f t="shared" si="14"/>
        <v>0</v>
      </c>
      <c r="W30">
        <f t="shared" si="2"/>
        <v>0</v>
      </c>
      <c r="X30" s="358">
        <f t="shared" si="15"/>
        <v>0</v>
      </c>
      <c r="Y30" s="358">
        <f t="shared" si="16"/>
        <v>0</v>
      </c>
      <c r="Z30" s="358">
        <f t="shared" si="3"/>
        <v>0</v>
      </c>
      <c r="AA30" s="358">
        <f t="shared" si="17"/>
        <v>0</v>
      </c>
      <c r="AB30" s="358">
        <f t="shared" si="18"/>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19"/>
        <v>0</v>
      </c>
      <c r="BO30" s="125">
        <f t="shared" si="4"/>
        <v>0</v>
      </c>
      <c r="BP30" s="358">
        <f t="shared" si="20"/>
        <v>0</v>
      </c>
      <c r="BQ30" s="358">
        <f t="shared" si="21"/>
        <v>0</v>
      </c>
      <c r="BR30" s="358">
        <f t="shared" si="5"/>
        <v>0</v>
      </c>
      <c r="BS30" s="358">
        <f t="shared" si="6"/>
        <v>0</v>
      </c>
      <c r="BT30" s="358">
        <f t="shared" si="7"/>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2"/>
        <v>0</v>
      </c>
      <c r="DF30" t="str">
        <f t="shared" si="8"/>
        <v/>
      </c>
      <c r="DG30">
        <f t="shared" si="9"/>
        <v>0</v>
      </c>
      <c r="DH30">
        <f t="shared" si="10"/>
        <v>0</v>
      </c>
      <c r="DI30" t="str">
        <f t="shared" si="11"/>
        <v/>
      </c>
      <c r="DJ30" t="str">
        <f t="shared" si="11"/>
        <v/>
      </c>
      <c r="DK30" t="str">
        <f t="shared" si="23"/>
        <v/>
      </c>
      <c r="DL30" t="str">
        <f t="shared" si="24"/>
        <v/>
      </c>
    </row>
    <row r="31" spans="1:116">
      <c r="A31" s="135">
        <f>IF(ISNUMBER(A30),A30+1,1)</f>
        <v>12</v>
      </c>
      <c r="B31" s="72" t="str">
        <f t="shared" si="0"/>
        <v>ti</v>
      </c>
      <c r="C31" s="73" t="s">
        <v>217</v>
      </c>
      <c r="D31" s="74" t="str">
        <f t="shared" si="1"/>
        <v/>
      </c>
      <c r="E31" s="858"/>
      <c r="F31" s="859"/>
      <c r="G31" s="860"/>
      <c r="H31" s="175"/>
      <c r="I31" s="221"/>
      <c r="J31" s="221"/>
      <c r="K31" s="191">
        <f t="shared" si="25"/>
        <v>0</v>
      </c>
      <c r="L31" s="191">
        <f t="shared" si="13"/>
        <v>0</v>
      </c>
      <c r="M31" s="238"/>
      <c r="N31" s="357"/>
      <c r="O31" s="408"/>
      <c r="P31" s="407"/>
      <c r="Q31" s="196"/>
      <c r="R31" s="196"/>
      <c r="S31" s="192"/>
      <c r="T31" s="255"/>
      <c r="U31" s="193"/>
      <c r="V31">
        <f t="shared" si="14"/>
        <v>0</v>
      </c>
      <c r="W31">
        <f t="shared" si="2"/>
        <v>0</v>
      </c>
      <c r="X31" s="358">
        <f t="shared" si="15"/>
        <v>0</v>
      </c>
      <c r="Y31" s="358">
        <f t="shared" si="16"/>
        <v>0</v>
      </c>
      <c r="Z31" s="358">
        <f t="shared" si="3"/>
        <v>0</v>
      </c>
      <c r="AA31" s="358">
        <f t="shared" si="17"/>
        <v>0</v>
      </c>
      <c r="AB31" s="358">
        <f t="shared" si="18"/>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19"/>
        <v>0</v>
      </c>
      <c r="BO31" s="125">
        <f t="shared" si="4"/>
        <v>0</v>
      </c>
      <c r="BP31" s="358">
        <f t="shared" si="20"/>
        <v>0</v>
      </c>
      <c r="BQ31" s="358">
        <f t="shared" si="21"/>
        <v>0</v>
      </c>
      <c r="BR31" s="358">
        <f t="shared" si="5"/>
        <v>0</v>
      </c>
      <c r="BS31" s="358">
        <f t="shared" si="6"/>
        <v>0</v>
      </c>
      <c r="BT31" s="358">
        <f t="shared" si="7"/>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2"/>
        <v>0</v>
      </c>
      <c r="DF31" t="str">
        <f t="shared" si="8"/>
        <v/>
      </c>
      <c r="DG31">
        <f t="shared" si="9"/>
        <v>0</v>
      </c>
      <c r="DH31">
        <f t="shared" si="10"/>
        <v>0</v>
      </c>
      <c r="DI31" t="str">
        <f t="shared" si="11"/>
        <v/>
      </c>
      <c r="DJ31" t="str">
        <f t="shared" si="11"/>
        <v/>
      </c>
      <c r="DK31" t="str">
        <f t="shared" si="23"/>
        <v/>
      </c>
      <c r="DL31" t="str">
        <f t="shared" si="24"/>
        <v/>
      </c>
    </row>
    <row r="32" spans="1:116">
      <c r="A32" s="135">
        <f>IF(ISNUMBER(A31),A31+1,1)</f>
        <v>13</v>
      </c>
      <c r="B32" s="72" t="str">
        <f t="shared" si="0"/>
        <v>on</v>
      </c>
      <c r="C32" s="73" t="s">
        <v>217</v>
      </c>
      <c r="D32" s="74" t="str">
        <f t="shared" si="1"/>
        <v/>
      </c>
      <c r="E32" s="861"/>
      <c r="F32" s="862"/>
      <c r="G32" s="863"/>
      <c r="H32" s="174"/>
      <c r="I32" s="221"/>
      <c r="J32" s="221"/>
      <c r="K32" s="191">
        <f t="shared" si="25"/>
        <v>0</v>
      </c>
      <c r="L32" s="191">
        <f t="shared" si="13"/>
        <v>0</v>
      </c>
      <c r="M32" s="238"/>
      <c r="N32" s="357"/>
      <c r="O32" s="408"/>
      <c r="P32" s="407"/>
      <c r="Q32" s="196"/>
      <c r="R32" s="196"/>
      <c r="S32" s="192"/>
      <c r="T32" s="255"/>
      <c r="U32" s="193"/>
      <c r="V32">
        <f t="shared" si="14"/>
        <v>0</v>
      </c>
      <c r="W32">
        <f t="shared" si="2"/>
        <v>0</v>
      </c>
      <c r="X32" s="358">
        <f t="shared" si="15"/>
        <v>0</v>
      </c>
      <c r="Y32" s="358">
        <f t="shared" si="16"/>
        <v>0</v>
      </c>
      <c r="Z32" s="358">
        <f t="shared" si="3"/>
        <v>0</v>
      </c>
      <c r="AA32" s="358">
        <f t="shared" si="17"/>
        <v>0</v>
      </c>
      <c r="AB32" s="358">
        <f t="shared" si="18"/>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19"/>
        <v>0</v>
      </c>
      <c r="BO32" s="125">
        <f t="shared" si="4"/>
        <v>0</v>
      </c>
      <c r="BP32" s="358">
        <f t="shared" si="20"/>
        <v>0</v>
      </c>
      <c r="BQ32" s="358">
        <f t="shared" si="21"/>
        <v>0</v>
      </c>
      <c r="BR32" s="358">
        <f t="shared" si="5"/>
        <v>0</v>
      </c>
      <c r="BS32" s="358">
        <f t="shared" si="6"/>
        <v>0</v>
      </c>
      <c r="BT32" s="358">
        <f t="shared" si="7"/>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2"/>
        <v>0</v>
      </c>
      <c r="DF32" t="str">
        <f t="shared" si="8"/>
        <v/>
      </c>
      <c r="DG32">
        <f t="shared" si="9"/>
        <v>0</v>
      </c>
      <c r="DH32">
        <f t="shared" si="10"/>
        <v>0</v>
      </c>
      <c r="DI32" t="str">
        <f t="shared" si="11"/>
        <v/>
      </c>
      <c r="DJ32" t="str">
        <f t="shared" si="11"/>
        <v/>
      </c>
      <c r="DK32" t="str">
        <f t="shared" si="23"/>
        <v/>
      </c>
      <c r="DL32" t="str">
        <f t="shared" si="24"/>
        <v/>
      </c>
    </row>
    <row r="33" spans="1:116">
      <c r="A33" s="135">
        <f t="shared" si="12"/>
        <v>14</v>
      </c>
      <c r="B33" s="72" t="str">
        <f t="shared" si="0"/>
        <v>to</v>
      </c>
      <c r="C33" s="73" t="s">
        <v>217</v>
      </c>
      <c r="D33" s="74" t="str">
        <f t="shared" si="1"/>
        <v/>
      </c>
      <c r="E33" s="861"/>
      <c r="F33" s="862"/>
      <c r="G33" s="863"/>
      <c r="H33" s="174"/>
      <c r="I33" s="221"/>
      <c r="J33" s="221"/>
      <c r="K33" s="191">
        <f t="shared" si="25"/>
        <v>0</v>
      </c>
      <c r="L33" s="191">
        <f t="shared" si="13"/>
        <v>0</v>
      </c>
      <c r="M33" s="238"/>
      <c r="N33" s="357"/>
      <c r="O33" s="408"/>
      <c r="P33" s="407"/>
      <c r="Q33" s="196"/>
      <c r="R33" s="196"/>
      <c r="S33" s="192"/>
      <c r="T33" s="255"/>
      <c r="U33" s="193"/>
      <c r="V33">
        <f t="shared" si="14"/>
        <v>0</v>
      </c>
      <c r="W33">
        <f t="shared" si="2"/>
        <v>0</v>
      </c>
      <c r="X33" s="358">
        <f t="shared" si="15"/>
        <v>0</v>
      </c>
      <c r="Y33" s="358">
        <f t="shared" si="16"/>
        <v>0</v>
      </c>
      <c r="Z33" s="358">
        <f t="shared" si="3"/>
        <v>0</v>
      </c>
      <c r="AA33" s="358">
        <f t="shared" si="17"/>
        <v>0</v>
      </c>
      <c r="AB33" s="358">
        <f t="shared" si="18"/>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19"/>
        <v>0</v>
      </c>
      <c r="BO33" s="125">
        <f t="shared" si="4"/>
        <v>0</v>
      </c>
      <c r="BP33" s="358">
        <f t="shared" si="20"/>
        <v>0</v>
      </c>
      <c r="BQ33" s="358">
        <f t="shared" si="21"/>
        <v>0</v>
      </c>
      <c r="BR33" s="358">
        <f t="shared" si="5"/>
        <v>0</v>
      </c>
      <c r="BS33" s="358">
        <f t="shared" si="6"/>
        <v>0</v>
      </c>
      <c r="BT33" s="358">
        <f t="shared" si="7"/>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2"/>
        <v>0</v>
      </c>
      <c r="DF33" t="str">
        <f t="shared" si="8"/>
        <v/>
      </c>
      <c r="DG33">
        <f t="shared" si="9"/>
        <v>0</v>
      </c>
      <c r="DH33">
        <f t="shared" si="10"/>
        <v>0</v>
      </c>
      <c r="DI33" t="str">
        <f t="shared" si="11"/>
        <v/>
      </c>
      <c r="DJ33" t="str">
        <f t="shared" si="11"/>
        <v/>
      </c>
      <c r="DK33" t="str">
        <f t="shared" si="23"/>
        <v/>
      </c>
      <c r="DL33" t="str">
        <f t="shared" si="24"/>
        <v/>
      </c>
    </row>
    <row r="34" spans="1:116">
      <c r="A34" s="135">
        <f t="shared" si="12"/>
        <v>15</v>
      </c>
      <c r="B34" s="72" t="str">
        <f t="shared" si="0"/>
        <v>fr</v>
      </c>
      <c r="C34" s="73" t="s">
        <v>217</v>
      </c>
      <c r="D34" s="74" t="str">
        <f t="shared" si="1"/>
        <v/>
      </c>
      <c r="E34" s="861"/>
      <c r="F34" s="862"/>
      <c r="G34" s="863"/>
      <c r="H34" s="174"/>
      <c r="I34" s="221"/>
      <c r="J34" s="221"/>
      <c r="K34" s="191">
        <f t="shared" si="25"/>
        <v>0</v>
      </c>
      <c r="L34" s="191">
        <f t="shared" si="13"/>
        <v>0</v>
      </c>
      <c r="M34" s="238"/>
      <c r="N34" s="357"/>
      <c r="O34" s="408"/>
      <c r="P34" s="407"/>
      <c r="Q34" s="196"/>
      <c r="R34" s="196"/>
      <c r="S34" s="192"/>
      <c r="T34" s="255"/>
      <c r="U34" s="193"/>
      <c r="V34">
        <f t="shared" si="14"/>
        <v>0</v>
      </c>
      <c r="W34">
        <f t="shared" si="2"/>
        <v>0</v>
      </c>
      <c r="X34" s="358">
        <f t="shared" si="15"/>
        <v>0</v>
      </c>
      <c r="Y34" s="358">
        <f t="shared" si="16"/>
        <v>0</v>
      </c>
      <c r="Z34" s="358">
        <f t="shared" si="3"/>
        <v>0</v>
      </c>
      <c r="AA34" s="358">
        <f t="shared" si="17"/>
        <v>0</v>
      </c>
      <c r="AB34" s="358">
        <f t="shared" si="18"/>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19"/>
        <v>0</v>
      </c>
      <c r="BO34" s="125">
        <f t="shared" si="4"/>
        <v>0</v>
      </c>
      <c r="BP34" s="358">
        <f t="shared" si="20"/>
        <v>0</v>
      </c>
      <c r="BQ34" s="358">
        <f t="shared" si="21"/>
        <v>0</v>
      </c>
      <c r="BR34" s="358">
        <f t="shared" si="5"/>
        <v>0</v>
      </c>
      <c r="BS34" s="358">
        <f t="shared" si="6"/>
        <v>0</v>
      </c>
      <c r="BT34" s="358">
        <f t="shared" si="7"/>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2"/>
        <v>0</v>
      </c>
      <c r="DF34" t="str">
        <f t="shared" si="8"/>
        <v/>
      </c>
      <c r="DG34">
        <f t="shared" si="9"/>
        <v>0</v>
      </c>
      <c r="DH34">
        <f t="shared" si="10"/>
        <v>0</v>
      </c>
      <c r="DI34" t="str">
        <f t="shared" si="11"/>
        <v/>
      </c>
      <c r="DJ34" t="str">
        <f t="shared" si="11"/>
        <v/>
      </c>
      <c r="DK34" t="str">
        <f t="shared" si="23"/>
        <v/>
      </c>
      <c r="DL34" t="str">
        <f t="shared" si="24"/>
        <v/>
      </c>
    </row>
    <row r="35" spans="1:116">
      <c r="A35" s="135">
        <f>IF(ISNUMBER(A34),A34+1,1)</f>
        <v>16</v>
      </c>
      <c r="B35" s="72" t="str">
        <f t="shared" si="0"/>
        <v>lø</v>
      </c>
      <c r="C35" s="73" t="s">
        <v>77</v>
      </c>
      <c r="D35" s="74" t="str">
        <f t="shared" si="1"/>
        <v/>
      </c>
      <c r="E35" s="858"/>
      <c r="F35" s="859"/>
      <c r="G35" s="860"/>
      <c r="H35" s="175"/>
      <c r="I35" s="221"/>
      <c r="J35" s="221"/>
      <c r="K35" s="191">
        <f t="shared" si="25"/>
        <v>0</v>
      </c>
      <c r="L35" s="191">
        <f t="shared" si="13"/>
        <v>0</v>
      </c>
      <c r="M35" s="238"/>
      <c r="N35" s="357"/>
      <c r="O35" s="408"/>
      <c r="P35" s="407"/>
      <c r="Q35" s="196"/>
      <c r="R35" s="196"/>
      <c r="S35" s="192"/>
      <c r="T35" s="255"/>
      <c r="U35" s="193"/>
      <c r="V35">
        <f t="shared" si="14"/>
        <v>0</v>
      </c>
      <c r="W35">
        <f t="shared" si="2"/>
        <v>0</v>
      </c>
      <c r="X35" s="358">
        <f t="shared" si="15"/>
        <v>0</v>
      </c>
      <c r="Y35" s="358">
        <f t="shared" si="16"/>
        <v>0</v>
      </c>
      <c r="Z35" s="358">
        <f t="shared" si="3"/>
        <v>0</v>
      </c>
      <c r="AA35" s="358">
        <f t="shared" si="17"/>
        <v>0</v>
      </c>
      <c r="AB35" s="358">
        <f t="shared" si="18"/>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19"/>
        <v>0</v>
      </c>
      <c r="BO35" s="125">
        <f t="shared" si="4"/>
        <v>0</v>
      </c>
      <c r="BP35" s="358">
        <f t="shared" si="20"/>
        <v>0</v>
      </c>
      <c r="BQ35" s="358">
        <f t="shared" si="21"/>
        <v>0</v>
      </c>
      <c r="BR35" s="358">
        <f t="shared" si="5"/>
        <v>0</v>
      </c>
      <c r="BS35" s="358">
        <f t="shared" si="6"/>
        <v>0</v>
      </c>
      <c r="BT35" s="358">
        <f t="shared" si="7"/>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SUM(BP35:DD35)</f>
        <v>0</v>
      </c>
      <c r="DF35" t="str">
        <f t="shared" si="8"/>
        <v/>
      </c>
      <c r="DG35">
        <f t="shared" si="9"/>
        <v>0</v>
      </c>
      <c r="DH35">
        <f t="shared" si="10"/>
        <v>0</v>
      </c>
      <c r="DI35" t="str">
        <f t="shared" si="11"/>
        <v/>
      </c>
      <c r="DJ35" t="str">
        <f t="shared" si="11"/>
        <v/>
      </c>
      <c r="DK35" t="str">
        <f t="shared" si="23"/>
        <v/>
      </c>
      <c r="DL35" t="str">
        <f t="shared" si="24"/>
        <v/>
      </c>
    </row>
    <row r="36" spans="1:116">
      <c r="A36" s="135">
        <f t="shared" si="12"/>
        <v>17</v>
      </c>
      <c r="B36" s="72" t="str">
        <f t="shared" si="0"/>
        <v>sø</v>
      </c>
      <c r="C36" s="73" t="s">
        <v>77</v>
      </c>
      <c r="D36" s="74" t="str">
        <f t="shared" si="1"/>
        <v/>
      </c>
      <c r="E36" s="858"/>
      <c r="F36" s="859"/>
      <c r="G36" s="860"/>
      <c r="H36" s="175"/>
      <c r="I36" s="221"/>
      <c r="J36" s="221"/>
      <c r="K36" s="191">
        <f t="shared" si="25"/>
        <v>0</v>
      </c>
      <c r="L36" s="191">
        <f t="shared" si="13"/>
        <v>0</v>
      </c>
      <c r="M36" s="238"/>
      <c r="N36" s="357"/>
      <c r="O36" s="408"/>
      <c r="P36" s="407"/>
      <c r="Q36" s="196"/>
      <c r="R36" s="196"/>
      <c r="S36" s="192"/>
      <c r="T36" s="255"/>
      <c r="U36" s="193"/>
      <c r="V36">
        <f t="shared" si="14"/>
        <v>0</v>
      </c>
      <c r="W36">
        <f t="shared" si="2"/>
        <v>0</v>
      </c>
      <c r="X36" s="358">
        <f t="shared" si="15"/>
        <v>0</v>
      </c>
      <c r="Y36" s="358">
        <f t="shared" si="16"/>
        <v>0</v>
      </c>
      <c r="Z36" s="358">
        <f t="shared" si="3"/>
        <v>0</v>
      </c>
      <c r="AA36" s="358">
        <f t="shared" si="17"/>
        <v>0</v>
      </c>
      <c r="AB36" s="358">
        <f t="shared" si="18"/>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19"/>
        <v>0</v>
      </c>
      <c r="BO36" s="125">
        <f t="shared" si="4"/>
        <v>0</v>
      </c>
      <c r="BP36" s="358">
        <f t="shared" si="20"/>
        <v>0</v>
      </c>
      <c r="BQ36" s="358">
        <f t="shared" si="21"/>
        <v>0</v>
      </c>
      <c r="BR36" s="358">
        <f t="shared" si="5"/>
        <v>0</v>
      </c>
      <c r="BS36" s="358">
        <f t="shared" si="6"/>
        <v>0</v>
      </c>
      <c r="BT36" s="358">
        <f t="shared" si="7"/>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2"/>
        <v>0</v>
      </c>
      <c r="DF36" t="str">
        <f t="shared" si="8"/>
        <v/>
      </c>
      <c r="DG36">
        <f t="shared" si="9"/>
        <v>0</v>
      </c>
      <c r="DH36">
        <f t="shared" si="10"/>
        <v>0</v>
      </c>
      <c r="DI36" t="str">
        <f t="shared" si="11"/>
        <v/>
      </c>
      <c r="DJ36" t="str">
        <f t="shared" si="11"/>
        <v/>
      </c>
      <c r="DK36" t="str">
        <f t="shared" si="23"/>
        <v/>
      </c>
      <c r="DL36" t="str">
        <f t="shared" si="24"/>
        <v/>
      </c>
    </row>
    <row r="37" spans="1:116">
      <c r="A37" s="135">
        <f t="shared" si="12"/>
        <v>18</v>
      </c>
      <c r="B37" s="72" t="str">
        <f t="shared" si="0"/>
        <v>ma</v>
      </c>
      <c r="C37" s="73" t="s">
        <v>217</v>
      </c>
      <c r="D37" s="74">
        <f t="shared" si="1"/>
        <v>33.714285714285715</v>
      </c>
      <c r="E37" s="858"/>
      <c r="F37" s="859"/>
      <c r="G37" s="860"/>
      <c r="H37" s="175"/>
      <c r="I37" s="221"/>
      <c r="J37" s="221"/>
      <c r="K37" s="191">
        <f t="shared" si="25"/>
        <v>0</v>
      </c>
      <c r="L37" s="191">
        <f t="shared" si="13"/>
        <v>0</v>
      </c>
      <c r="M37" s="238"/>
      <c r="N37" s="357"/>
      <c r="O37" s="408"/>
      <c r="P37" s="407"/>
      <c r="Q37" s="196"/>
      <c r="R37" s="196"/>
      <c r="S37" s="192"/>
      <c r="T37" s="255"/>
      <c r="U37" s="193"/>
      <c r="V37">
        <f t="shared" si="14"/>
        <v>0</v>
      </c>
      <c r="W37">
        <f t="shared" si="2"/>
        <v>0</v>
      </c>
      <c r="X37" s="358">
        <f t="shared" si="15"/>
        <v>0</v>
      </c>
      <c r="Y37" s="358">
        <f t="shared" si="16"/>
        <v>0</v>
      </c>
      <c r="Z37" s="358">
        <f t="shared" si="3"/>
        <v>0</v>
      </c>
      <c r="AA37" s="358">
        <f t="shared" si="17"/>
        <v>0</v>
      </c>
      <c r="AB37" s="358">
        <f t="shared" si="18"/>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19"/>
        <v>0</v>
      </c>
      <c r="BO37" s="125">
        <f t="shared" si="4"/>
        <v>0</v>
      </c>
      <c r="BP37" s="358">
        <f t="shared" si="20"/>
        <v>0</v>
      </c>
      <c r="BQ37" s="358">
        <f t="shared" si="21"/>
        <v>0</v>
      </c>
      <c r="BR37" s="358">
        <f t="shared" si="5"/>
        <v>0</v>
      </c>
      <c r="BS37" s="358">
        <f t="shared" si="6"/>
        <v>0</v>
      </c>
      <c r="BT37" s="358">
        <f t="shared" si="7"/>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2"/>
        <v>0</v>
      </c>
      <c r="DF37" t="str">
        <f t="shared" si="8"/>
        <v/>
      </c>
      <c r="DG37">
        <f t="shared" si="9"/>
        <v>0</v>
      </c>
      <c r="DH37">
        <f t="shared" si="10"/>
        <v>0</v>
      </c>
      <c r="DI37" t="str">
        <f t="shared" si="11"/>
        <v/>
      </c>
      <c r="DJ37" t="str">
        <f t="shared" si="11"/>
        <v/>
      </c>
      <c r="DK37" t="str">
        <f t="shared" si="23"/>
        <v/>
      </c>
      <c r="DL37" t="str">
        <f t="shared" si="24"/>
        <v/>
      </c>
    </row>
    <row r="38" spans="1:116">
      <c r="A38" s="135">
        <f t="shared" si="12"/>
        <v>19</v>
      </c>
      <c r="B38" s="72" t="str">
        <f t="shared" si="0"/>
        <v>ti</v>
      </c>
      <c r="C38" s="73" t="s">
        <v>217</v>
      </c>
      <c r="D38" s="74" t="str">
        <f t="shared" si="1"/>
        <v/>
      </c>
      <c r="E38" s="858"/>
      <c r="F38" s="859"/>
      <c r="G38" s="860"/>
      <c r="H38" s="175"/>
      <c r="I38" s="221"/>
      <c r="J38" s="221"/>
      <c r="K38" s="191">
        <f t="shared" si="25"/>
        <v>0</v>
      </c>
      <c r="L38" s="191">
        <f t="shared" si="13"/>
        <v>0</v>
      </c>
      <c r="M38" s="238"/>
      <c r="N38" s="357"/>
      <c r="O38" s="408"/>
      <c r="P38" s="407"/>
      <c r="Q38" s="196"/>
      <c r="R38" s="196"/>
      <c r="S38" s="192"/>
      <c r="T38" s="255"/>
      <c r="U38" s="193"/>
      <c r="V38">
        <f t="shared" si="14"/>
        <v>0</v>
      </c>
      <c r="W38">
        <f t="shared" si="2"/>
        <v>0</v>
      </c>
      <c r="X38" s="358">
        <f t="shared" si="15"/>
        <v>0</v>
      </c>
      <c r="Y38" s="358">
        <f t="shared" si="16"/>
        <v>0</v>
      </c>
      <c r="Z38" s="358">
        <f t="shared" si="3"/>
        <v>0</v>
      </c>
      <c r="AA38" s="358">
        <f t="shared" si="17"/>
        <v>0</v>
      </c>
      <c r="AB38" s="358">
        <f t="shared" si="18"/>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19"/>
        <v>0</v>
      </c>
      <c r="BO38" s="125">
        <f t="shared" si="4"/>
        <v>0</v>
      </c>
      <c r="BP38" s="358">
        <f t="shared" si="20"/>
        <v>0</v>
      </c>
      <c r="BQ38" s="358">
        <f t="shared" si="21"/>
        <v>0</v>
      </c>
      <c r="BR38" s="358">
        <f t="shared" si="5"/>
        <v>0</v>
      </c>
      <c r="BS38" s="358">
        <f t="shared" si="6"/>
        <v>0</v>
      </c>
      <c r="BT38" s="358">
        <f t="shared" si="7"/>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2"/>
        <v>0</v>
      </c>
      <c r="DF38" t="str">
        <f t="shared" si="8"/>
        <v/>
      </c>
      <c r="DG38">
        <f t="shared" si="9"/>
        <v>0</v>
      </c>
      <c r="DH38">
        <f t="shared" si="10"/>
        <v>0</v>
      </c>
      <c r="DI38" t="str">
        <f t="shared" si="11"/>
        <v/>
      </c>
      <c r="DJ38" t="str">
        <f t="shared" si="11"/>
        <v/>
      </c>
      <c r="DK38" t="str">
        <f t="shared" si="23"/>
        <v/>
      </c>
      <c r="DL38" t="str">
        <f t="shared" si="24"/>
        <v/>
      </c>
    </row>
    <row r="39" spans="1:116">
      <c r="A39" s="135">
        <f t="shared" si="12"/>
        <v>20</v>
      </c>
      <c r="B39" s="72" t="str">
        <f t="shared" si="0"/>
        <v>on</v>
      </c>
      <c r="C39" s="73" t="s">
        <v>217</v>
      </c>
      <c r="D39" s="74" t="str">
        <f t="shared" si="1"/>
        <v/>
      </c>
      <c r="E39" s="858"/>
      <c r="F39" s="859"/>
      <c r="G39" s="860"/>
      <c r="H39" s="175"/>
      <c r="I39" s="221"/>
      <c r="J39" s="221"/>
      <c r="K39" s="191">
        <f t="shared" si="25"/>
        <v>0</v>
      </c>
      <c r="L39" s="191">
        <f t="shared" si="13"/>
        <v>0</v>
      </c>
      <c r="M39" s="238"/>
      <c r="N39" s="357"/>
      <c r="O39" s="408"/>
      <c r="P39" s="407"/>
      <c r="Q39" s="196"/>
      <c r="R39" s="196"/>
      <c r="S39" s="192"/>
      <c r="T39" s="255"/>
      <c r="U39" s="193"/>
      <c r="V39">
        <f t="shared" si="14"/>
        <v>0</v>
      </c>
      <c r="W39">
        <f t="shared" si="2"/>
        <v>0</v>
      </c>
      <c r="X39" s="358">
        <f t="shared" si="15"/>
        <v>0</v>
      </c>
      <c r="Y39" s="358">
        <f t="shared" si="16"/>
        <v>0</v>
      </c>
      <c r="Z39" s="358">
        <f t="shared" si="3"/>
        <v>0</v>
      </c>
      <c r="AA39" s="358">
        <f t="shared" si="17"/>
        <v>0</v>
      </c>
      <c r="AB39" s="358">
        <f t="shared" si="18"/>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19"/>
        <v>0</v>
      </c>
      <c r="BO39" s="125">
        <f t="shared" si="4"/>
        <v>0</v>
      </c>
      <c r="BP39" s="358">
        <f t="shared" si="20"/>
        <v>0</v>
      </c>
      <c r="BQ39" s="358">
        <f t="shared" si="21"/>
        <v>0</v>
      </c>
      <c r="BR39" s="358">
        <f t="shared" si="5"/>
        <v>0</v>
      </c>
      <c r="BS39" s="358">
        <f t="shared" si="6"/>
        <v>0</v>
      </c>
      <c r="BT39" s="358">
        <f t="shared" si="7"/>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2"/>
        <v>0</v>
      </c>
      <c r="DF39" t="str">
        <f t="shared" si="8"/>
        <v/>
      </c>
      <c r="DG39">
        <f t="shared" si="9"/>
        <v>0</v>
      </c>
      <c r="DH39">
        <f t="shared" si="10"/>
        <v>0</v>
      </c>
      <c r="DI39" t="str">
        <f t="shared" si="11"/>
        <v/>
      </c>
      <c r="DJ39" t="str">
        <f t="shared" si="11"/>
        <v/>
      </c>
      <c r="DK39" t="str">
        <f t="shared" si="23"/>
        <v/>
      </c>
      <c r="DL39" t="str">
        <f t="shared" si="24"/>
        <v/>
      </c>
    </row>
    <row r="40" spans="1:116">
      <c r="A40" s="135">
        <f t="shared" si="12"/>
        <v>21</v>
      </c>
      <c r="B40" s="72" t="str">
        <f t="shared" si="0"/>
        <v>to</v>
      </c>
      <c r="C40" s="73" t="s">
        <v>217</v>
      </c>
      <c r="D40" s="74" t="str">
        <f t="shared" si="1"/>
        <v/>
      </c>
      <c r="E40" s="858"/>
      <c r="F40" s="859"/>
      <c r="G40" s="860"/>
      <c r="H40" s="175"/>
      <c r="I40" s="221"/>
      <c r="J40" s="221"/>
      <c r="K40" s="191">
        <f t="shared" si="25"/>
        <v>0</v>
      </c>
      <c r="L40" s="191">
        <f t="shared" si="13"/>
        <v>0</v>
      </c>
      <c r="M40" s="238"/>
      <c r="N40" s="357"/>
      <c r="O40" s="408"/>
      <c r="P40" s="407"/>
      <c r="Q40" s="196"/>
      <c r="R40" s="196"/>
      <c r="S40" s="192"/>
      <c r="T40" s="255"/>
      <c r="U40" s="193"/>
      <c r="V40">
        <f t="shared" si="14"/>
        <v>0</v>
      </c>
      <c r="W40">
        <f t="shared" si="2"/>
        <v>0</v>
      </c>
      <c r="X40" s="358">
        <f t="shared" si="15"/>
        <v>0</v>
      </c>
      <c r="Y40" s="358">
        <f t="shared" si="16"/>
        <v>0</v>
      </c>
      <c r="Z40" s="358">
        <f t="shared" si="3"/>
        <v>0</v>
      </c>
      <c r="AA40" s="358">
        <f t="shared" si="17"/>
        <v>0</v>
      </c>
      <c r="AB40" s="358">
        <f t="shared" si="18"/>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19"/>
        <v>0</v>
      </c>
      <c r="BO40" s="125">
        <f t="shared" si="4"/>
        <v>0</v>
      </c>
      <c r="BP40" s="358">
        <f t="shared" si="20"/>
        <v>0</v>
      </c>
      <c r="BQ40" s="358">
        <f t="shared" si="21"/>
        <v>0</v>
      </c>
      <c r="BR40" s="358">
        <f t="shared" si="5"/>
        <v>0</v>
      </c>
      <c r="BS40" s="358">
        <f t="shared" si="6"/>
        <v>0</v>
      </c>
      <c r="BT40" s="358">
        <f t="shared" si="7"/>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2"/>
        <v>0</v>
      </c>
      <c r="DF40" t="str">
        <f t="shared" si="8"/>
        <v/>
      </c>
      <c r="DG40">
        <f t="shared" si="9"/>
        <v>0</v>
      </c>
      <c r="DH40">
        <f t="shared" si="10"/>
        <v>0</v>
      </c>
      <c r="DI40" t="str">
        <f t="shared" si="11"/>
        <v/>
      </c>
      <c r="DJ40" t="str">
        <f t="shared" si="11"/>
        <v/>
      </c>
      <c r="DK40" t="str">
        <f t="shared" si="23"/>
        <v/>
      </c>
      <c r="DL40" t="str">
        <f t="shared" si="24"/>
        <v/>
      </c>
    </row>
    <row r="41" spans="1:116">
      <c r="A41" s="135">
        <f t="shared" si="12"/>
        <v>22</v>
      </c>
      <c r="B41" s="72" t="str">
        <f t="shared" si="0"/>
        <v>fr</v>
      </c>
      <c r="C41" s="73" t="s">
        <v>217</v>
      </c>
      <c r="D41" s="74" t="str">
        <f t="shared" si="1"/>
        <v/>
      </c>
      <c r="E41" s="858"/>
      <c r="F41" s="859"/>
      <c r="G41" s="860"/>
      <c r="H41" s="175"/>
      <c r="I41" s="221"/>
      <c r="J41" s="221"/>
      <c r="K41" s="191">
        <f t="shared" si="25"/>
        <v>0</v>
      </c>
      <c r="L41" s="191">
        <f t="shared" si="13"/>
        <v>0</v>
      </c>
      <c r="M41" s="238"/>
      <c r="N41" s="357"/>
      <c r="O41" s="408"/>
      <c r="P41" s="407"/>
      <c r="Q41" s="196"/>
      <c r="R41" s="196"/>
      <c r="S41" s="192"/>
      <c r="T41" s="255"/>
      <c r="U41" s="193"/>
      <c r="V41">
        <f t="shared" si="14"/>
        <v>0</v>
      </c>
      <c r="W41">
        <f t="shared" si="2"/>
        <v>0</v>
      </c>
      <c r="X41" s="358">
        <f t="shared" si="15"/>
        <v>0</v>
      </c>
      <c r="Y41" s="358">
        <f t="shared" si="16"/>
        <v>0</v>
      </c>
      <c r="Z41" s="358">
        <f t="shared" si="3"/>
        <v>0</v>
      </c>
      <c r="AA41" s="358">
        <f t="shared" si="17"/>
        <v>0</v>
      </c>
      <c r="AB41" s="358">
        <f t="shared" si="18"/>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19"/>
        <v>0</v>
      </c>
      <c r="BO41" s="125">
        <f t="shared" si="4"/>
        <v>0</v>
      </c>
      <c r="BP41" s="358">
        <f t="shared" si="20"/>
        <v>0</v>
      </c>
      <c r="BQ41" s="358">
        <f t="shared" si="21"/>
        <v>0</v>
      </c>
      <c r="BR41" s="358">
        <f t="shared" si="5"/>
        <v>0</v>
      </c>
      <c r="BS41" s="358">
        <f t="shared" si="6"/>
        <v>0</v>
      </c>
      <c r="BT41" s="358">
        <f t="shared" si="7"/>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2"/>
        <v>0</v>
      </c>
      <c r="DF41" t="str">
        <f t="shared" si="8"/>
        <v/>
      </c>
      <c r="DG41">
        <f t="shared" si="9"/>
        <v>0</v>
      </c>
      <c r="DH41">
        <f t="shared" si="10"/>
        <v>0</v>
      </c>
      <c r="DI41" t="str">
        <f t="shared" si="11"/>
        <v/>
      </c>
      <c r="DJ41" t="str">
        <f t="shared" si="11"/>
        <v/>
      </c>
      <c r="DK41" t="str">
        <f t="shared" si="23"/>
        <v/>
      </c>
      <c r="DL41" t="str">
        <f t="shared" si="24"/>
        <v/>
      </c>
    </row>
    <row r="42" spans="1:116">
      <c r="A42" s="135">
        <f t="shared" si="12"/>
        <v>23</v>
      </c>
      <c r="B42" s="72" t="str">
        <f t="shared" si="0"/>
        <v>lø</v>
      </c>
      <c r="C42" s="73" t="s">
        <v>77</v>
      </c>
      <c r="D42" s="74" t="str">
        <f t="shared" si="1"/>
        <v/>
      </c>
      <c r="E42" s="858"/>
      <c r="F42" s="859"/>
      <c r="G42" s="860"/>
      <c r="H42" s="175"/>
      <c r="I42" s="221"/>
      <c r="J42" s="221"/>
      <c r="K42" s="191">
        <f t="shared" si="25"/>
        <v>0</v>
      </c>
      <c r="L42" s="191">
        <f t="shared" si="13"/>
        <v>0</v>
      </c>
      <c r="M42" s="238"/>
      <c r="N42" s="357"/>
      <c r="O42" s="408"/>
      <c r="P42" s="407"/>
      <c r="Q42" s="196"/>
      <c r="R42" s="196"/>
      <c r="S42" s="192"/>
      <c r="T42" s="255"/>
      <c r="U42" s="193"/>
      <c r="V42">
        <f t="shared" si="14"/>
        <v>0</v>
      </c>
      <c r="W42">
        <f t="shared" si="2"/>
        <v>0</v>
      </c>
      <c r="X42" s="358">
        <f t="shared" si="15"/>
        <v>0</v>
      </c>
      <c r="Y42" s="358">
        <f t="shared" si="16"/>
        <v>0</v>
      </c>
      <c r="Z42" s="358">
        <f t="shared" si="3"/>
        <v>0</v>
      </c>
      <c r="AA42" s="358">
        <f t="shared" si="17"/>
        <v>0</v>
      </c>
      <c r="AB42" s="358">
        <f t="shared" si="18"/>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19"/>
        <v>0</v>
      </c>
      <c r="BO42" s="125">
        <f t="shared" si="4"/>
        <v>0</v>
      </c>
      <c r="BP42" s="358">
        <f t="shared" si="20"/>
        <v>0</v>
      </c>
      <c r="BQ42" s="358">
        <f t="shared" si="21"/>
        <v>0</v>
      </c>
      <c r="BR42" s="358">
        <f t="shared" si="5"/>
        <v>0</v>
      </c>
      <c r="BS42" s="358">
        <f t="shared" si="6"/>
        <v>0</v>
      </c>
      <c r="BT42" s="358">
        <f t="shared" si="7"/>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2"/>
        <v>0</v>
      </c>
      <c r="DF42" t="str">
        <f t="shared" si="8"/>
        <v/>
      </c>
      <c r="DG42">
        <f t="shared" si="9"/>
        <v>0</v>
      </c>
      <c r="DH42">
        <f t="shared" si="10"/>
        <v>0</v>
      </c>
      <c r="DI42" t="str">
        <f t="shared" si="11"/>
        <v/>
      </c>
      <c r="DJ42" t="str">
        <f t="shared" si="11"/>
        <v/>
      </c>
      <c r="DK42" t="str">
        <f t="shared" si="23"/>
        <v/>
      </c>
      <c r="DL42" t="str">
        <f t="shared" si="24"/>
        <v/>
      </c>
    </row>
    <row r="43" spans="1:116">
      <c r="A43" s="135">
        <f t="shared" si="12"/>
        <v>24</v>
      </c>
      <c r="B43" s="72" t="str">
        <f t="shared" si="0"/>
        <v>sø</v>
      </c>
      <c r="C43" s="73" t="s">
        <v>77</v>
      </c>
      <c r="D43" s="74" t="str">
        <f t="shared" si="1"/>
        <v/>
      </c>
      <c r="E43" s="861"/>
      <c r="F43" s="862"/>
      <c r="G43" s="863"/>
      <c r="H43" s="175"/>
      <c r="I43" s="221"/>
      <c r="J43" s="221"/>
      <c r="K43" s="191">
        <f t="shared" si="25"/>
        <v>0</v>
      </c>
      <c r="L43" s="191">
        <f t="shared" si="13"/>
        <v>0</v>
      </c>
      <c r="M43" s="238"/>
      <c r="N43" s="357"/>
      <c r="O43" s="408"/>
      <c r="P43" s="407"/>
      <c r="Q43" s="196"/>
      <c r="R43" s="196"/>
      <c r="S43" s="192"/>
      <c r="T43" s="255"/>
      <c r="U43" s="193"/>
      <c r="V43">
        <f t="shared" si="14"/>
        <v>0</v>
      </c>
      <c r="W43">
        <f t="shared" si="2"/>
        <v>0</v>
      </c>
      <c r="X43" s="358">
        <f t="shared" si="15"/>
        <v>0</v>
      </c>
      <c r="Y43" s="358">
        <f t="shared" si="16"/>
        <v>0</v>
      </c>
      <c r="Z43" s="358">
        <f t="shared" si="3"/>
        <v>0</v>
      </c>
      <c r="AA43" s="358">
        <f t="shared" si="17"/>
        <v>0</v>
      </c>
      <c r="AB43" s="358">
        <f t="shared" si="18"/>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19"/>
        <v>0</v>
      </c>
      <c r="BO43" s="125">
        <f t="shared" si="4"/>
        <v>0</v>
      </c>
      <c r="BP43" s="358">
        <f t="shared" si="20"/>
        <v>0</v>
      </c>
      <c r="BQ43" s="358">
        <f t="shared" si="21"/>
        <v>0</v>
      </c>
      <c r="BR43" s="358">
        <f t="shared" si="5"/>
        <v>0</v>
      </c>
      <c r="BS43" s="358">
        <f t="shared" si="6"/>
        <v>0</v>
      </c>
      <c r="BT43" s="358">
        <f t="shared" si="7"/>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2"/>
        <v>0</v>
      </c>
      <c r="DF43" t="str">
        <f t="shared" si="8"/>
        <v/>
      </c>
      <c r="DG43">
        <f t="shared" si="9"/>
        <v>0</v>
      </c>
      <c r="DH43">
        <f t="shared" si="10"/>
        <v>0</v>
      </c>
      <c r="DI43" t="str">
        <f t="shared" si="11"/>
        <v/>
      </c>
      <c r="DJ43" t="str">
        <f t="shared" si="11"/>
        <v/>
      </c>
      <c r="DK43" t="str">
        <f t="shared" si="23"/>
        <v/>
      </c>
      <c r="DL43" t="str">
        <f t="shared" si="24"/>
        <v/>
      </c>
    </row>
    <row r="44" spans="1:116">
      <c r="A44" s="135">
        <f t="shared" si="12"/>
        <v>25</v>
      </c>
      <c r="B44" s="72" t="str">
        <f t="shared" si="0"/>
        <v>ma</v>
      </c>
      <c r="C44" s="73" t="s">
        <v>217</v>
      </c>
      <c r="D44" s="74">
        <f t="shared" si="1"/>
        <v>34.714285714285715</v>
      </c>
      <c r="E44" s="858"/>
      <c r="F44" s="859"/>
      <c r="G44" s="860"/>
      <c r="H44" s="175"/>
      <c r="I44" s="221"/>
      <c r="J44" s="221"/>
      <c r="K44" s="191">
        <f t="shared" si="25"/>
        <v>0</v>
      </c>
      <c r="L44" s="191">
        <f t="shared" si="13"/>
        <v>0</v>
      </c>
      <c r="M44" s="238"/>
      <c r="N44" s="357"/>
      <c r="O44" s="408"/>
      <c r="P44" s="407"/>
      <c r="Q44" s="196"/>
      <c r="R44" s="196"/>
      <c r="S44" s="192"/>
      <c r="T44" s="255"/>
      <c r="U44" s="193"/>
      <c r="V44">
        <f t="shared" si="14"/>
        <v>0</v>
      </c>
      <c r="W44">
        <f t="shared" si="2"/>
        <v>0</v>
      </c>
      <c r="X44" s="358">
        <f t="shared" si="15"/>
        <v>0</v>
      </c>
      <c r="Y44" s="358">
        <f t="shared" si="16"/>
        <v>0</v>
      </c>
      <c r="Z44" s="358">
        <f t="shared" si="3"/>
        <v>0</v>
      </c>
      <c r="AA44" s="358">
        <f t="shared" si="17"/>
        <v>0</v>
      </c>
      <c r="AB44" s="358">
        <f t="shared" si="18"/>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19"/>
        <v>0</v>
      </c>
      <c r="BO44" s="125">
        <f t="shared" si="4"/>
        <v>0</v>
      </c>
      <c r="BP44" s="358">
        <f t="shared" si="20"/>
        <v>0</v>
      </c>
      <c r="BQ44" s="358">
        <f t="shared" si="21"/>
        <v>0</v>
      </c>
      <c r="BR44" s="358">
        <f t="shared" si="5"/>
        <v>0</v>
      </c>
      <c r="BS44" s="358">
        <f t="shared" si="6"/>
        <v>0</v>
      </c>
      <c r="BT44" s="358">
        <f t="shared" si="7"/>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2"/>
        <v>0</v>
      </c>
      <c r="DF44" t="str">
        <f t="shared" si="8"/>
        <v/>
      </c>
      <c r="DG44">
        <f t="shared" si="9"/>
        <v>0</v>
      </c>
      <c r="DH44">
        <f t="shared" si="10"/>
        <v>0</v>
      </c>
      <c r="DI44" t="str">
        <f t="shared" si="11"/>
        <v/>
      </c>
      <c r="DJ44" t="str">
        <f t="shared" si="11"/>
        <v/>
      </c>
      <c r="DK44" t="str">
        <f t="shared" si="23"/>
        <v/>
      </c>
      <c r="DL44" t="str">
        <f t="shared" si="24"/>
        <v/>
      </c>
    </row>
    <row r="45" spans="1:116">
      <c r="A45" s="135">
        <f t="shared" si="12"/>
        <v>26</v>
      </c>
      <c r="B45" s="72" t="str">
        <f t="shared" si="0"/>
        <v>ti</v>
      </c>
      <c r="C45" s="73" t="s">
        <v>217</v>
      </c>
      <c r="D45" s="74" t="str">
        <f t="shared" si="1"/>
        <v/>
      </c>
      <c r="E45" s="858"/>
      <c r="F45" s="859"/>
      <c r="G45" s="860"/>
      <c r="H45" s="175"/>
      <c r="I45" s="221"/>
      <c r="J45" s="221"/>
      <c r="K45" s="191">
        <f t="shared" si="25"/>
        <v>0</v>
      </c>
      <c r="L45" s="191">
        <f t="shared" si="13"/>
        <v>0</v>
      </c>
      <c r="M45" s="238"/>
      <c r="N45" s="357"/>
      <c r="O45" s="408"/>
      <c r="P45" s="407"/>
      <c r="Q45" s="196"/>
      <c r="R45" s="196"/>
      <c r="S45" s="192"/>
      <c r="T45" s="255"/>
      <c r="U45" s="193"/>
      <c r="V45">
        <f t="shared" si="14"/>
        <v>0</v>
      </c>
      <c r="W45">
        <f t="shared" si="2"/>
        <v>0</v>
      </c>
      <c r="X45" s="358">
        <f t="shared" si="15"/>
        <v>0</v>
      </c>
      <c r="Y45" s="358">
        <f t="shared" si="16"/>
        <v>0</v>
      </c>
      <c r="Z45" s="358">
        <f t="shared" si="3"/>
        <v>0</v>
      </c>
      <c r="AA45" s="358">
        <f t="shared" si="17"/>
        <v>0</v>
      </c>
      <c r="AB45" s="358">
        <f t="shared" si="18"/>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 t="shared" si="19"/>
        <v>0</v>
      </c>
      <c r="BO45" s="125">
        <f t="shared" si="4"/>
        <v>0</v>
      </c>
      <c r="BP45" s="358">
        <f t="shared" si="20"/>
        <v>0</v>
      </c>
      <c r="BQ45" s="358">
        <f t="shared" si="21"/>
        <v>0</v>
      </c>
      <c r="BR45" s="358">
        <f t="shared" si="5"/>
        <v>0</v>
      </c>
      <c r="BS45" s="358">
        <f t="shared" si="6"/>
        <v>0</v>
      </c>
      <c r="BT45" s="358">
        <f t="shared" si="7"/>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2"/>
        <v>0</v>
      </c>
      <c r="DF45" t="str">
        <f t="shared" si="8"/>
        <v/>
      </c>
      <c r="DG45">
        <f t="shared" si="9"/>
        <v>0</v>
      </c>
      <c r="DH45">
        <f t="shared" si="10"/>
        <v>0</v>
      </c>
      <c r="DI45" t="str">
        <f t="shared" si="11"/>
        <v/>
      </c>
      <c r="DJ45" t="str">
        <f t="shared" si="11"/>
        <v/>
      </c>
      <c r="DK45" t="str">
        <f t="shared" si="23"/>
        <v/>
      </c>
      <c r="DL45" t="str">
        <f t="shared" si="24"/>
        <v/>
      </c>
    </row>
    <row r="46" spans="1:116">
      <c r="A46" s="135">
        <f t="shared" si="12"/>
        <v>27</v>
      </c>
      <c r="B46" s="72" t="str">
        <f t="shared" si="0"/>
        <v>on</v>
      </c>
      <c r="C46" s="73" t="s">
        <v>217</v>
      </c>
      <c r="D46" s="74" t="str">
        <f t="shared" si="1"/>
        <v/>
      </c>
      <c r="E46" s="858"/>
      <c r="F46" s="859"/>
      <c r="G46" s="860"/>
      <c r="H46" s="175"/>
      <c r="I46" s="221"/>
      <c r="J46" s="221"/>
      <c r="K46" s="191">
        <f t="shared" si="25"/>
        <v>0</v>
      </c>
      <c r="L46" s="191">
        <f t="shared" si="13"/>
        <v>0</v>
      </c>
      <c r="M46" s="238"/>
      <c r="N46" s="357"/>
      <c r="O46" s="408"/>
      <c r="P46" s="407"/>
      <c r="Q46" s="196"/>
      <c r="R46" s="196"/>
      <c r="S46" s="192"/>
      <c r="T46" s="255"/>
      <c r="U46" s="193"/>
      <c r="V46">
        <f t="shared" si="14"/>
        <v>0</v>
      </c>
      <c r="W46">
        <f t="shared" si="2"/>
        <v>0</v>
      </c>
      <c r="X46" s="358">
        <f t="shared" si="15"/>
        <v>0</v>
      </c>
      <c r="Y46" s="358">
        <f t="shared" si="16"/>
        <v>0</v>
      </c>
      <c r="Z46" s="358">
        <f t="shared" si="3"/>
        <v>0</v>
      </c>
      <c r="AA46" s="358">
        <f t="shared" si="17"/>
        <v>0</v>
      </c>
      <c r="AB46" s="358">
        <f t="shared" si="18"/>
        <v>0</v>
      </c>
      <c r="AC46" s="358">
        <f>IF(C46="Orlov",Stamoplysninger!$E$21*7.4,0)</f>
        <v>0</v>
      </c>
      <c r="AD46" s="358">
        <f>IF(C46="Rul 1",Rul!$E$46,0)</f>
        <v>0</v>
      </c>
      <c r="AE46" s="358">
        <f>IF(C46="Rul 2",Rul!$G$46,0)</f>
        <v>0</v>
      </c>
      <c r="AF46" s="358">
        <f>IF(C46="Rul 3",Rul!$I$46,0)</f>
        <v>0</v>
      </c>
      <c r="AG46" s="358">
        <f>IF(C46="Rul 4",Rul!$K$46,0)</f>
        <v>0</v>
      </c>
      <c r="AH46" s="358">
        <f>IF(C46="Rul 5",Rul!$M$46,0)</f>
        <v>0</v>
      </c>
      <c r="AI46" s="358">
        <f>IF(C46="Rul 6",Rul!$O$46,0)</f>
        <v>0</v>
      </c>
      <c r="AJ46" s="359">
        <f>IF(AND(C46="Normal uge 1",B46="ma"),'Normal uger'!$E$48,0)</f>
        <v>0</v>
      </c>
      <c r="AK46" s="359">
        <f>IF(AND(C46="Normal uge 1",B46="ti"),'Normal uger'!$G$48,0)</f>
        <v>0</v>
      </c>
      <c r="AL46" s="359">
        <f>IF(AND(C46="Normal uge 1",B46="on"),'Normal uger'!$I$48,0)</f>
        <v>0</v>
      </c>
      <c r="AM46" s="359">
        <f>IF(AND(C46="Normal uge 1",B46="to"),'Normal uger'!$K$48,0)</f>
        <v>0</v>
      </c>
      <c r="AN46" s="359">
        <f>IF(AND(C46="Normal uge 1",B46="fr"),'Normal uger'!$M$48,0)</f>
        <v>0</v>
      </c>
      <c r="AO46" s="360">
        <f>IF(AND(C46="Normal uge 2",B46="ma"),'Normal uger'!$S$48,0)</f>
        <v>0</v>
      </c>
      <c r="AP46" s="360">
        <f>IF(AND(C46="Normal uge 2",B46="ti"),'Normal uger'!$U$48,0)</f>
        <v>0</v>
      </c>
      <c r="AQ46" s="360">
        <f>IF(AND(C46="Normal uge 2",B46="on"),'Normal uger'!$W$48,0)</f>
        <v>0</v>
      </c>
      <c r="AR46" s="360">
        <f>IF(AND(C46="Normal uge 2",B46="to"),'Normal uger'!$Y$48,0)</f>
        <v>0</v>
      </c>
      <c r="AS46" s="360">
        <f>IF(AND(C46="Normal uge 2",B46="fr"),'Normal uger'!$AA$48,0)</f>
        <v>0</v>
      </c>
      <c r="AT46" s="361">
        <f>IF(AND(C46="Normal uge 3",B46="ma"),'Normal uger'!$AG$48,0)</f>
        <v>0</v>
      </c>
      <c r="AU46" s="361">
        <f>IF(AND(C46="Normal uge 3",B46="ti"),'Normal uger'!$AI$48,0)</f>
        <v>0</v>
      </c>
      <c r="AV46" s="361">
        <f>IF(AND(C46="Normal uge 3",B46="on"),'Normal uger'!$AK$48,0)</f>
        <v>0</v>
      </c>
      <c r="AW46" s="361">
        <f>IF(AND(C46="Normal uge 3",B46="to"),'Normal uger'!$AM$48,0)</f>
        <v>0</v>
      </c>
      <c r="AX46" s="361">
        <f>IF(AND(C46="Normal uge 3",B46="fr"),'Normal uger'!$AO$48,0)</f>
        <v>0</v>
      </c>
      <c r="AY46" s="362">
        <f>IF(AND(C46="Normal uge 4",B46="ma"),'Normal uger'!$AU$48,0)</f>
        <v>0</v>
      </c>
      <c r="AZ46" s="362">
        <f>IF(AND(C46="Normal uge 4",B46="ti"),'Normal uger'!$AW$48,0)</f>
        <v>0</v>
      </c>
      <c r="BA46" s="362">
        <f>IF(AND(C46="Normal uge 4",B46="on"),'Normal uger'!$AY$48,0)</f>
        <v>0</v>
      </c>
      <c r="BB46" s="362">
        <f>IF(AND(C46="Normal uge 4",B46="to"),'Normal uger'!$BA$48,0)</f>
        <v>0</v>
      </c>
      <c r="BC46" s="362">
        <f>IF(AND(C46="Normal uge 4",B46="fr"),'Normal uger'!$BC$48,0)</f>
        <v>0</v>
      </c>
      <c r="BD46" s="655">
        <f>IF(AND(C46="Normal uge 5",B46="ma"),'Normal uger'!$BI$48,0)</f>
        <v>0</v>
      </c>
      <c r="BE46" s="655">
        <f>IF(AND(C46="Normal uge 5",B46="ti"),'Normal uger'!$BK$48,0)</f>
        <v>0</v>
      </c>
      <c r="BF46" s="655">
        <f>IF(AND(C46="Normal uge 5",B46="on"),'Normal uger'!$BM$48,0)</f>
        <v>0</v>
      </c>
      <c r="BG46" s="655">
        <f>IF(AND(C46="Normal uge 5",B46="to"),'Normal uger'!$BO$48,0)</f>
        <v>0</v>
      </c>
      <c r="BH46" s="655">
        <f>IF(AND(C46="Normal uge 5",B46="fr"),'Normal uger'!$BQ$48,0)</f>
        <v>0</v>
      </c>
      <c r="BI46" s="654">
        <f>IF(AND(C46="Normal uge 6",B46="ma"),'Normal uger'!$BW$48,0)</f>
        <v>0</v>
      </c>
      <c r="BJ46" s="654">
        <f>IF(AND(C46="Normal uge 6",B46="ti"),'Normal uger'!$BY$48,0)</f>
        <v>0</v>
      </c>
      <c r="BK46" s="654">
        <f>IF(AND(C46="Normal uge 6",B46="on"),'Normal uger'!$CA$48,0)</f>
        <v>0</v>
      </c>
      <c r="BL46" s="654">
        <f>IF(AND(C46="Normal uge 6",B46="to"),'Normal uger'!$CC$48,0)</f>
        <v>0</v>
      </c>
      <c r="BM46" s="654">
        <f>IF(AND(C46="Normal uge 6",B46="fr"),'Normal uger'!$CE$48,0)</f>
        <v>0</v>
      </c>
      <c r="BN46" s="1">
        <f t="shared" si="19"/>
        <v>0</v>
      </c>
      <c r="BO46" s="125">
        <f t="shared" si="4"/>
        <v>0</v>
      </c>
      <c r="BP46" s="358">
        <f t="shared" si="20"/>
        <v>0</v>
      </c>
      <c r="BQ46" s="358">
        <f t="shared" si="21"/>
        <v>0</v>
      </c>
      <c r="BR46" s="358">
        <f t="shared" si="5"/>
        <v>0</v>
      </c>
      <c r="BS46" s="358">
        <f t="shared" si="6"/>
        <v>0</v>
      </c>
      <c r="BT46" s="358">
        <f t="shared" si="7"/>
        <v>0</v>
      </c>
      <c r="BU46" s="358">
        <f>IF(C46="Rul 1",Rul!$E$49,0)</f>
        <v>0</v>
      </c>
      <c r="BV46" s="358">
        <f>IF(C46="Rul 2",Rul!$G$49,0)</f>
        <v>0</v>
      </c>
      <c r="BW46" s="358">
        <f>IF(C46="Rul 3",Rul!$I$49,0)</f>
        <v>0</v>
      </c>
      <c r="BX46" s="358">
        <f>IF(C46="Rul 4",Rul!$K$49,0)</f>
        <v>0</v>
      </c>
      <c r="BY46" s="358">
        <f>IF(C46="Rul 5",Rul!$M$49,0)</f>
        <v>0</v>
      </c>
      <c r="BZ46" s="358">
        <f>IF(C46="Rul 6",Rul!$O$49,0)</f>
        <v>0</v>
      </c>
      <c r="CA46" s="359">
        <f>IF(AND(C46="Normal uge 1",B46="ma"),'Normal uger'!$E$51,0)</f>
        <v>0</v>
      </c>
      <c r="CB46" s="359">
        <f>IF(AND(C46="Normal uge 1",B46="ti"),'Normal uger'!$G$51,0)</f>
        <v>0</v>
      </c>
      <c r="CC46" s="359">
        <f>IF(AND(C46="Normal uge 1",B46="on"),'Normal uger'!$I$51,0)</f>
        <v>0</v>
      </c>
      <c r="CD46" s="359">
        <f>IF(AND(C46="Normal uge 1",B46="to"),'Normal uger'!$K$51,0)</f>
        <v>0</v>
      </c>
      <c r="CE46" s="359">
        <f>IF(AND(C46="Normal uge 1",B46="fr"),'Normal uger'!$M$51,0)</f>
        <v>0</v>
      </c>
      <c r="CF46" s="360">
        <f>IF(AND(C46="Normal uge 2",B46="ma"),'Normal uger'!$S$51,0)</f>
        <v>0</v>
      </c>
      <c r="CG46" s="360">
        <f>IF(AND(C46="Normal uge 2",B46="ti"),'Normal uger'!$U$51,0)</f>
        <v>0</v>
      </c>
      <c r="CH46" s="360">
        <f>IF(AND(C46="Normal uge 2",B46="on"),'Normal uger'!$W$51,0)</f>
        <v>0</v>
      </c>
      <c r="CI46" s="360">
        <f>IF(AND(C46="Normal uge 2",B46="to"),'Normal uger'!$Y$51,0)</f>
        <v>0</v>
      </c>
      <c r="CJ46" s="360">
        <f>IF(AND(C46="Normal uge 2",B46="fr"),'Normal uger'!$AA$51,0)</f>
        <v>0</v>
      </c>
      <c r="CK46" s="361">
        <f>IF(AND(C46="Normal uge 3",B46="ma"),'Normal uger'!$AG$51,0)</f>
        <v>0</v>
      </c>
      <c r="CL46" s="361">
        <f>IF(AND(C46="Normal uge 3",B46="ti"),'Normal uger'!$AI$51,0)</f>
        <v>0</v>
      </c>
      <c r="CM46" s="361">
        <f>IF(AND(C46="Normal uge 3",B46="on"),'Normal uger'!$AK$51,0)</f>
        <v>0</v>
      </c>
      <c r="CN46" s="361">
        <f>IF(AND(C46="Normal uge 3",B46="to"),'Normal uger'!$AM$51,0)</f>
        <v>0</v>
      </c>
      <c r="CO46" s="361">
        <f>IF(AND(C46="Normal uge 3",B46="fr"),'Normal uger'!$AO$51,0)</f>
        <v>0</v>
      </c>
      <c r="CP46" s="362">
        <f>IF(AND(C46="Normal uge 4",B46="ma"),'Normal uger'!$AU$51,0)</f>
        <v>0</v>
      </c>
      <c r="CQ46" s="362">
        <f>IF(AND(C46="Normal uge 4",B46="ti"),'Normal uger'!$AW$51,0)</f>
        <v>0</v>
      </c>
      <c r="CR46" s="362">
        <f>IF(AND(C46="Normal uge 4",B46="on"),'Normal uger'!$AY$51,0)</f>
        <v>0</v>
      </c>
      <c r="CS46" s="362">
        <f>IF(AND(C46="Normal uge 4",B46="to"),'Normal uger'!$BA$51,0)</f>
        <v>0</v>
      </c>
      <c r="CT46" s="362">
        <f>IF(AND(C46="Normal uge 4",B46="fr"),'Normal uger'!$BC$51,0)</f>
        <v>0</v>
      </c>
      <c r="CU46" s="655">
        <f>IF(AND(C46="Normal uge 5",B46="ma"),'Normal uger'!$BI$51,0)</f>
        <v>0</v>
      </c>
      <c r="CV46" s="655">
        <f>IF(AND(C46="Normal uge 5",B46="ti"),'Normal uger'!$BK$51,0)</f>
        <v>0</v>
      </c>
      <c r="CW46" s="655">
        <f>IF(AND(C46="Normal uge 5",B46="on"),'Normal uger'!$BM$51,0)</f>
        <v>0</v>
      </c>
      <c r="CX46" s="655">
        <f>IF(AND(C46="Normal uge 5",B46="to"),'Normal uger'!$BO$51,0)</f>
        <v>0</v>
      </c>
      <c r="CY46" s="655">
        <f>IF(AND(C46="Normal uge 5",B46="fr"),'Normal uger'!$BQ$51,0)</f>
        <v>0</v>
      </c>
      <c r="CZ46" s="654">
        <f>IF(AND(C46="Normal uge 6",B46="ma"),'Normal uger'!$BW$51,0)</f>
        <v>0</v>
      </c>
      <c r="DA46" s="654">
        <f>IF(AND(C46="Normal uge 6",B46="ti"),'Normal uger'!$BY$51,0)</f>
        <v>0</v>
      </c>
      <c r="DB46" s="654">
        <f>IF(AND(C46="Normal uge 6",B46="on"),'Normal uger'!$CA$51,0)</f>
        <v>0</v>
      </c>
      <c r="DC46" s="654">
        <f>IF(AND(C46="Normal uge 6",B46="to"),'Normal uger'!$CC$51,0)</f>
        <v>0</v>
      </c>
      <c r="DD46" s="654">
        <f>IF(AND(C46="Normal uge 6",B46="fr"),'Normal uger'!$CE$51,0)</f>
        <v>0</v>
      </c>
      <c r="DE46" s="1">
        <f t="shared" si="22"/>
        <v>0</v>
      </c>
      <c r="DF46" t="str">
        <f t="shared" si="8"/>
        <v/>
      </c>
      <c r="DG46">
        <f t="shared" si="9"/>
        <v>0</v>
      </c>
      <c r="DH46">
        <f t="shared" si="10"/>
        <v>0</v>
      </c>
      <c r="DI46" t="str">
        <f t="shared" si="11"/>
        <v/>
      </c>
      <c r="DJ46" t="str">
        <f t="shared" si="11"/>
        <v/>
      </c>
      <c r="DK46" t="str">
        <f t="shared" si="23"/>
        <v/>
      </c>
      <c r="DL46" t="str">
        <f t="shared" si="24"/>
        <v/>
      </c>
    </row>
    <row r="47" spans="1:116">
      <c r="A47" s="135">
        <f t="shared" si="12"/>
        <v>28</v>
      </c>
      <c r="B47" s="72" t="str">
        <f t="shared" si="0"/>
        <v>to</v>
      </c>
      <c r="C47" s="73" t="s">
        <v>217</v>
      </c>
      <c r="D47" s="74" t="str">
        <f t="shared" si="1"/>
        <v/>
      </c>
      <c r="E47" s="858"/>
      <c r="F47" s="859"/>
      <c r="G47" s="860"/>
      <c r="H47" s="175"/>
      <c r="I47" s="221"/>
      <c r="J47" s="221"/>
      <c r="K47" s="191">
        <f t="shared" si="25"/>
        <v>0</v>
      </c>
      <c r="L47" s="191">
        <f t="shared" si="13"/>
        <v>0</v>
      </c>
      <c r="M47" s="238"/>
      <c r="N47" s="357"/>
      <c r="O47" s="408"/>
      <c r="P47" s="407"/>
      <c r="Q47" s="196"/>
      <c r="R47" s="196"/>
      <c r="S47" s="192"/>
      <c r="T47" s="255"/>
      <c r="U47" s="193"/>
      <c r="V47">
        <f t="shared" si="14"/>
        <v>0</v>
      </c>
      <c r="W47">
        <f t="shared" si="2"/>
        <v>0</v>
      </c>
      <c r="X47" s="358">
        <f t="shared" si="15"/>
        <v>0</v>
      </c>
      <c r="Y47" s="358">
        <f t="shared" si="16"/>
        <v>0</v>
      </c>
      <c r="Z47" s="358">
        <f t="shared" si="3"/>
        <v>0</v>
      </c>
      <c r="AA47" s="358">
        <f t="shared" si="17"/>
        <v>0</v>
      </c>
      <c r="AB47" s="358">
        <f t="shared" si="18"/>
        <v>0</v>
      </c>
      <c r="AC47" s="358">
        <f>IF(C47="Orlov",Stamoplysninger!$E$21*7.4,0)</f>
        <v>0</v>
      </c>
      <c r="AD47" s="358">
        <f>IF(C47="Rul 1",Rul!$E$46,0)</f>
        <v>0</v>
      </c>
      <c r="AE47" s="358">
        <f>IF(C47="Rul 2",Rul!$G$46,0)</f>
        <v>0</v>
      </c>
      <c r="AF47" s="358">
        <f>IF(C47="Rul 3",Rul!$I$46,0)</f>
        <v>0</v>
      </c>
      <c r="AG47" s="358">
        <f>IF(C47="Rul 4",Rul!$K$46,0)</f>
        <v>0</v>
      </c>
      <c r="AH47" s="358">
        <f>IF(C47="Rul 5",Rul!$M$46,0)</f>
        <v>0</v>
      </c>
      <c r="AI47" s="358">
        <f>IF(C47="Rul 6",Rul!$O$46,0)</f>
        <v>0</v>
      </c>
      <c r="AJ47" s="359">
        <f>IF(AND(C47="Normal uge 1",B47="ma"),'Normal uger'!$E$48,0)</f>
        <v>0</v>
      </c>
      <c r="AK47" s="359">
        <f>IF(AND(C47="Normal uge 1",B47="ti"),'Normal uger'!$G$48,0)</f>
        <v>0</v>
      </c>
      <c r="AL47" s="359">
        <f>IF(AND(C47="Normal uge 1",B47="on"),'Normal uger'!$I$48,0)</f>
        <v>0</v>
      </c>
      <c r="AM47" s="359">
        <f>IF(AND(C47="Normal uge 1",B47="to"),'Normal uger'!$K$48,0)</f>
        <v>0</v>
      </c>
      <c r="AN47" s="359">
        <f>IF(AND(C47="Normal uge 1",B47="fr"),'Normal uger'!$M$48,0)</f>
        <v>0</v>
      </c>
      <c r="AO47" s="360">
        <f>IF(AND(C47="Normal uge 2",B47="ma"),'Normal uger'!$S$48,0)</f>
        <v>0</v>
      </c>
      <c r="AP47" s="360">
        <f>IF(AND(C47="Normal uge 2",B47="ti"),'Normal uger'!$U$48,0)</f>
        <v>0</v>
      </c>
      <c r="AQ47" s="360">
        <f>IF(AND(C47="Normal uge 2",B47="on"),'Normal uger'!$W$48,0)</f>
        <v>0</v>
      </c>
      <c r="AR47" s="360">
        <f>IF(AND(C47="Normal uge 2",B47="to"),'Normal uger'!$Y$48,0)</f>
        <v>0</v>
      </c>
      <c r="AS47" s="360">
        <f>IF(AND(C47="Normal uge 2",B47="fr"),'Normal uger'!$AA$48,0)</f>
        <v>0</v>
      </c>
      <c r="AT47" s="361">
        <f>IF(AND(C47="Normal uge 3",B47="ma"),'Normal uger'!$AG$48,0)</f>
        <v>0</v>
      </c>
      <c r="AU47" s="361">
        <f>IF(AND(C47="Normal uge 3",B47="ti"),'Normal uger'!$AI$48,0)</f>
        <v>0</v>
      </c>
      <c r="AV47" s="361">
        <f>IF(AND(C47="Normal uge 3",B47="on"),'Normal uger'!$AK$48,0)</f>
        <v>0</v>
      </c>
      <c r="AW47" s="361">
        <f>IF(AND(C47="Normal uge 3",B47="to"),'Normal uger'!$AM$48,0)</f>
        <v>0</v>
      </c>
      <c r="AX47" s="361">
        <f>IF(AND(C47="Normal uge 3",B47="fr"),'Normal uger'!$AO$48,0)</f>
        <v>0</v>
      </c>
      <c r="AY47" s="362">
        <f>IF(AND(C47="Normal uge 4",B47="ma"),'Normal uger'!$AU$48,0)</f>
        <v>0</v>
      </c>
      <c r="AZ47" s="362">
        <f>IF(AND(C47="Normal uge 4",B47="ti"),'Normal uger'!$AW$48,0)</f>
        <v>0</v>
      </c>
      <c r="BA47" s="362">
        <f>IF(AND(C47="Normal uge 4",B47="on"),'Normal uger'!$AY$48,0)</f>
        <v>0</v>
      </c>
      <c r="BB47" s="362">
        <f>IF(AND(C47="Normal uge 4",B47="to"),'Normal uger'!$BA$48,0)</f>
        <v>0</v>
      </c>
      <c r="BC47" s="362">
        <f>IF(AND(C47="Normal uge 4",B47="fr"),'Normal uger'!$BC$48,0)</f>
        <v>0</v>
      </c>
      <c r="BD47" s="655">
        <f>IF(AND(C47="Normal uge 5",B47="ma"),'Normal uger'!$BI$48,0)</f>
        <v>0</v>
      </c>
      <c r="BE47" s="655">
        <f>IF(AND(C47="Normal uge 5",B47="ti"),'Normal uger'!$BK$48,0)</f>
        <v>0</v>
      </c>
      <c r="BF47" s="655">
        <f>IF(AND(C47="Normal uge 5",B47="on"),'Normal uger'!$BM$48,0)</f>
        <v>0</v>
      </c>
      <c r="BG47" s="655">
        <f>IF(AND(C47="Normal uge 5",B47="to"),'Normal uger'!$BO$48,0)</f>
        <v>0</v>
      </c>
      <c r="BH47" s="655">
        <f>IF(AND(C47="Normal uge 5",B47="fr"),'Normal uger'!$BQ$48,0)</f>
        <v>0</v>
      </c>
      <c r="BI47" s="654">
        <f>IF(AND(C47="Normal uge 6",B47="ma"),'Normal uger'!$BW$48,0)</f>
        <v>0</v>
      </c>
      <c r="BJ47" s="654">
        <f>IF(AND(C47="Normal uge 6",B47="ti"),'Normal uger'!$BY$48,0)</f>
        <v>0</v>
      </c>
      <c r="BK47" s="654">
        <f>IF(AND(C47="Normal uge 6",B47="on"),'Normal uger'!$CA$48,0)</f>
        <v>0</v>
      </c>
      <c r="BL47" s="654">
        <f>IF(AND(C47="Normal uge 6",B47="to"),'Normal uger'!$CC$48,0)</f>
        <v>0</v>
      </c>
      <c r="BM47" s="654">
        <f>IF(AND(C47="Normal uge 6",B47="fr"),'Normal uger'!$CE$48,0)</f>
        <v>0</v>
      </c>
      <c r="BN47" s="1">
        <f t="shared" si="19"/>
        <v>0</v>
      </c>
      <c r="BO47" s="125">
        <f t="shared" si="4"/>
        <v>0</v>
      </c>
      <c r="BP47" s="358">
        <f t="shared" si="20"/>
        <v>0</v>
      </c>
      <c r="BQ47" s="358">
        <f t="shared" si="21"/>
        <v>0</v>
      </c>
      <c r="BR47" s="358">
        <f t="shared" si="5"/>
        <v>0</v>
      </c>
      <c r="BS47" s="358">
        <f t="shared" si="6"/>
        <v>0</v>
      </c>
      <c r="BT47" s="358">
        <f t="shared" si="7"/>
        <v>0</v>
      </c>
      <c r="BU47" s="358">
        <f>IF(C47="Rul 1",Rul!$E$49,0)</f>
        <v>0</v>
      </c>
      <c r="BV47" s="358">
        <f>IF(C47="Rul 2",Rul!$G$49,0)</f>
        <v>0</v>
      </c>
      <c r="BW47" s="358">
        <f>IF(C47="Rul 3",Rul!$I$49,0)</f>
        <v>0</v>
      </c>
      <c r="BX47" s="358">
        <f>IF(C47="Rul 4",Rul!$K$49,0)</f>
        <v>0</v>
      </c>
      <c r="BY47" s="358">
        <f>IF(C47="Rul 5",Rul!$M$49,0)</f>
        <v>0</v>
      </c>
      <c r="BZ47" s="358">
        <f>IF(C47="Rul 6",Rul!$O$49,0)</f>
        <v>0</v>
      </c>
      <c r="CA47" s="359">
        <f>IF(AND(C47="Normal uge 1",B47="ma"),'Normal uger'!$E$51,0)</f>
        <v>0</v>
      </c>
      <c r="CB47" s="359">
        <f>IF(AND(C47="Normal uge 1",B47="ti"),'Normal uger'!$G$51,0)</f>
        <v>0</v>
      </c>
      <c r="CC47" s="359">
        <f>IF(AND(C47="Normal uge 1",B47="on"),'Normal uger'!$I$51,0)</f>
        <v>0</v>
      </c>
      <c r="CD47" s="359">
        <f>IF(AND(C47="Normal uge 1",B47="to"),'Normal uger'!$K$51,0)</f>
        <v>0</v>
      </c>
      <c r="CE47" s="359">
        <f>IF(AND(C47="Normal uge 1",B47="fr"),'Normal uger'!$M$51,0)</f>
        <v>0</v>
      </c>
      <c r="CF47" s="360">
        <f>IF(AND(C47="Normal uge 2",B47="ma"),'Normal uger'!$S$51,0)</f>
        <v>0</v>
      </c>
      <c r="CG47" s="360">
        <f>IF(AND(C47="Normal uge 2",B47="ti"),'Normal uger'!$U$51,0)</f>
        <v>0</v>
      </c>
      <c r="CH47" s="360">
        <f>IF(AND(C47="Normal uge 2",B47="on"),'Normal uger'!$W$51,0)</f>
        <v>0</v>
      </c>
      <c r="CI47" s="360">
        <f>IF(AND(C47="Normal uge 2",B47="to"),'Normal uger'!$Y$51,0)</f>
        <v>0</v>
      </c>
      <c r="CJ47" s="360">
        <f>IF(AND(C47="Normal uge 2",B47="fr"),'Normal uger'!$AA$51,0)</f>
        <v>0</v>
      </c>
      <c r="CK47" s="361">
        <f>IF(AND(C47="Normal uge 3",B47="ma"),'Normal uger'!$AG$51,0)</f>
        <v>0</v>
      </c>
      <c r="CL47" s="361">
        <f>IF(AND(C47="Normal uge 3",B47="ti"),'Normal uger'!$AI$51,0)</f>
        <v>0</v>
      </c>
      <c r="CM47" s="361">
        <f>IF(AND(C47="Normal uge 3",B47="on"),'Normal uger'!$AK$51,0)</f>
        <v>0</v>
      </c>
      <c r="CN47" s="361">
        <f>IF(AND(C47="Normal uge 3",B47="to"),'Normal uger'!$AM$51,0)</f>
        <v>0</v>
      </c>
      <c r="CO47" s="361">
        <f>IF(AND(C47="Normal uge 3",B47="fr"),'Normal uger'!$AO$51,0)</f>
        <v>0</v>
      </c>
      <c r="CP47" s="362">
        <f>IF(AND(C47="Normal uge 4",B47="ma"),'Normal uger'!$AU$51,0)</f>
        <v>0</v>
      </c>
      <c r="CQ47" s="362">
        <f>IF(AND(C47="Normal uge 4",B47="ti"),'Normal uger'!$AW$51,0)</f>
        <v>0</v>
      </c>
      <c r="CR47" s="362">
        <f>IF(AND(C47="Normal uge 4",B47="on"),'Normal uger'!$AY$51,0)</f>
        <v>0</v>
      </c>
      <c r="CS47" s="362">
        <f>IF(AND(C47="Normal uge 4",B47="to"),'Normal uger'!$BA$51,0)</f>
        <v>0</v>
      </c>
      <c r="CT47" s="362">
        <f>IF(AND(C47="Normal uge 4",B47="fr"),'Normal uger'!$BC$51,0)</f>
        <v>0</v>
      </c>
      <c r="CU47" s="655">
        <f>IF(AND(C47="Normal uge 5",B47="ma"),'Normal uger'!$BI$51,0)</f>
        <v>0</v>
      </c>
      <c r="CV47" s="655">
        <f>IF(AND(C47="Normal uge 5",B47="ti"),'Normal uger'!$BK$51,0)</f>
        <v>0</v>
      </c>
      <c r="CW47" s="655">
        <f>IF(AND(C47="Normal uge 5",B47="on"),'Normal uger'!$BM$51,0)</f>
        <v>0</v>
      </c>
      <c r="CX47" s="655">
        <f>IF(AND(C47="Normal uge 5",B47="to"),'Normal uger'!$BO$51,0)</f>
        <v>0</v>
      </c>
      <c r="CY47" s="655">
        <f>IF(AND(C47="Normal uge 5",B47="fr"),'Normal uger'!$BQ$51,0)</f>
        <v>0</v>
      </c>
      <c r="CZ47" s="654">
        <f>IF(AND(C47="Normal uge 6",B47="ma"),'Normal uger'!$BW$51,0)</f>
        <v>0</v>
      </c>
      <c r="DA47" s="654">
        <f>IF(AND(C47="Normal uge 6",B47="ti"),'Normal uger'!$BY$51,0)</f>
        <v>0</v>
      </c>
      <c r="DB47" s="654">
        <f>IF(AND(C47="Normal uge 6",B47="on"),'Normal uger'!$CA$51,0)</f>
        <v>0</v>
      </c>
      <c r="DC47" s="654">
        <f>IF(AND(C47="Normal uge 6",B47="to"),'Normal uger'!$CC$51,0)</f>
        <v>0</v>
      </c>
      <c r="DD47" s="654">
        <f>IF(AND(C47="Normal uge 6",B47="fr"),'Normal uger'!$CE$51,0)</f>
        <v>0</v>
      </c>
      <c r="DE47" s="1">
        <f t="shared" si="22"/>
        <v>0</v>
      </c>
      <c r="DF47" t="str">
        <f t="shared" si="8"/>
        <v/>
      </c>
      <c r="DG47">
        <f t="shared" si="9"/>
        <v>0</v>
      </c>
      <c r="DH47">
        <f t="shared" si="10"/>
        <v>0</v>
      </c>
      <c r="DI47" t="str">
        <f t="shared" si="11"/>
        <v/>
      </c>
      <c r="DJ47" t="str">
        <f t="shared" si="11"/>
        <v/>
      </c>
      <c r="DK47" t="str">
        <f t="shared" si="23"/>
        <v/>
      </c>
      <c r="DL47" t="str">
        <f t="shared" si="24"/>
        <v/>
      </c>
    </row>
    <row r="48" spans="1:116">
      <c r="A48" s="135">
        <f>IF(ISNUMBER(A47),A47+1,1)</f>
        <v>29</v>
      </c>
      <c r="B48" s="72" t="str">
        <f t="shared" si="0"/>
        <v>fr</v>
      </c>
      <c r="C48" s="73" t="s">
        <v>217</v>
      </c>
      <c r="D48" s="74" t="str">
        <f t="shared" si="1"/>
        <v/>
      </c>
      <c r="E48" s="858"/>
      <c r="F48" s="859"/>
      <c r="G48" s="860"/>
      <c r="H48" s="175"/>
      <c r="I48" s="221"/>
      <c r="J48" s="221"/>
      <c r="K48" s="191">
        <f t="shared" si="25"/>
        <v>0</v>
      </c>
      <c r="L48" s="191">
        <f t="shared" si="13"/>
        <v>0</v>
      </c>
      <c r="M48" s="238"/>
      <c r="N48" s="357"/>
      <c r="O48" s="408"/>
      <c r="P48" s="407"/>
      <c r="Q48" s="196"/>
      <c r="R48" s="196"/>
      <c r="S48" s="192"/>
      <c r="T48" s="255"/>
      <c r="U48" s="193"/>
      <c r="V48">
        <f t="shared" si="14"/>
        <v>0</v>
      </c>
      <c r="W48">
        <f t="shared" si="2"/>
        <v>0</v>
      </c>
      <c r="X48" s="358">
        <f t="shared" si="15"/>
        <v>0</v>
      </c>
      <c r="Y48" s="358">
        <f t="shared" si="16"/>
        <v>0</v>
      </c>
      <c r="Z48" s="358">
        <f t="shared" si="3"/>
        <v>0</v>
      </c>
      <c r="AA48" s="358">
        <f t="shared" si="17"/>
        <v>0</v>
      </c>
      <c r="AB48" s="358">
        <f t="shared" si="18"/>
        <v>0</v>
      </c>
      <c r="AC48" s="358">
        <f>IF(C48="Orlov",Stamoplysninger!$E$21*7.4,0)</f>
        <v>0</v>
      </c>
      <c r="AD48" s="358">
        <f>IF(C48="Rul 1",Rul!$E$46,0)</f>
        <v>0</v>
      </c>
      <c r="AE48" s="358">
        <f>IF(C48="Rul 2",Rul!$G$46,0)</f>
        <v>0</v>
      </c>
      <c r="AF48" s="358">
        <f>IF(C48="Rul 3",Rul!$I$46,0)</f>
        <v>0</v>
      </c>
      <c r="AG48" s="358">
        <f>IF(C48="Rul 4",Rul!$K$46,0)</f>
        <v>0</v>
      </c>
      <c r="AH48" s="358">
        <f>IF(C48="Rul 5",Rul!$M$46,0)</f>
        <v>0</v>
      </c>
      <c r="AI48" s="358">
        <f>IF(C48="Rul 6",Rul!$O$46,0)</f>
        <v>0</v>
      </c>
      <c r="AJ48" s="359">
        <f>IF(AND(C48="Normal uge 1",B48="ma"),'Normal uger'!$E$48,0)</f>
        <v>0</v>
      </c>
      <c r="AK48" s="359">
        <f>IF(AND(C48="Normal uge 1",B48="ti"),'Normal uger'!$G$48,0)</f>
        <v>0</v>
      </c>
      <c r="AL48" s="359">
        <f>IF(AND(C48="Normal uge 1",B48="on"),'Normal uger'!$I$48,0)</f>
        <v>0</v>
      </c>
      <c r="AM48" s="359">
        <f>IF(AND(C48="Normal uge 1",B48="to"),'Normal uger'!$K$48,0)</f>
        <v>0</v>
      </c>
      <c r="AN48" s="359">
        <f>IF(AND(C48="Normal uge 1",B48="fr"),'Normal uger'!$M$48,0)</f>
        <v>0</v>
      </c>
      <c r="AO48" s="360">
        <f>IF(AND(C48="Normal uge 2",B48="ma"),'Normal uger'!$S$48,0)</f>
        <v>0</v>
      </c>
      <c r="AP48" s="360">
        <f>IF(AND(C48="Normal uge 2",B48="ti"),'Normal uger'!$U$48,0)</f>
        <v>0</v>
      </c>
      <c r="AQ48" s="360">
        <f>IF(AND(C48="Normal uge 2",B48="on"),'Normal uger'!$W$48,0)</f>
        <v>0</v>
      </c>
      <c r="AR48" s="360">
        <f>IF(AND(C48="Normal uge 2",B48="to"),'Normal uger'!$Y$48,0)</f>
        <v>0</v>
      </c>
      <c r="AS48" s="360">
        <f>IF(AND(C48="Normal uge 2",B48="fr"),'Normal uger'!$AA$48,0)</f>
        <v>0</v>
      </c>
      <c r="AT48" s="361">
        <f>IF(AND(C48="Normal uge 3",B48="ma"),'Normal uger'!$AG$48,0)</f>
        <v>0</v>
      </c>
      <c r="AU48" s="361">
        <f>IF(AND(C48="Normal uge 3",B48="ti"),'Normal uger'!$AI$48,0)</f>
        <v>0</v>
      </c>
      <c r="AV48" s="361">
        <f>IF(AND(C48="Normal uge 3",B48="on"),'Normal uger'!$AK$48,0)</f>
        <v>0</v>
      </c>
      <c r="AW48" s="361">
        <f>IF(AND(C48="Normal uge 3",B48="to"),'Normal uger'!$AM$48,0)</f>
        <v>0</v>
      </c>
      <c r="AX48" s="361">
        <f>IF(AND(C48="Normal uge 3",B48="fr"),'Normal uger'!$AO$48,0)</f>
        <v>0</v>
      </c>
      <c r="AY48" s="362">
        <f>IF(AND(C48="Normal uge 4",B48="ma"),'Normal uger'!$AU$48,0)</f>
        <v>0</v>
      </c>
      <c r="AZ48" s="362">
        <f>IF(AND(C48="Normal uge 4",B48="ti"),'Normal uger'!$AW$48,0)</f>
        <v>0</v>
      </c>
      <c r="BA48" s="362">
        <f>IF(AND(C48="Normal uge 4",B48="on"),'Normal uger'!$AY$48,0)</f>
        <v>0</v>
      </c>
      <c r="BB48" s="362">
        <f>IF(AND(C48="Normal uge 4",B48="to"),'Normal uger'!$BA$48,0)</f>
        <v>0</v>
      </c>
      <c r="BC48" s="362">
        <f>IF(AND(C48="Normal uge 4",B48="fr"),'Normal uger'!$BC$48,0)</f>
        <v>0</v>
      </c>
      <c r="BD48" s="655">
        <f>IF(AND(C48="Normal uge 5",B48="ma"),'Normal uger'!$BI$48,0)</f>
        <v>0</v>
      </c>
      <c r="BE48" s="655">
        <f>IF(AND(C48="Normal uge 5",B48="ti"),'Normal uger'!$BK$48,0)</f>
        <v>0</v>
      </c>
      <c r="BF48" s="655">
        <f>IF(AND(C48="Normal uge 5",B48="on"),'Normal uger'!$BM$48,0)</f>
        <v>0</v>
      </c>
      <c r="BG48" s="655">
        <f>IF(AND(C48="Normal uge 5",B48="to"),'Normal uger'!$BO$48,0)</f>
        <v>0</v>
      </c>
      <c r="BH48" s="655">
        <f>IF(AND(C48="Normal uge 5",B48="fr"),'Normal uger'!$BQ$48,0)</f>
        <v>0</v>
      </c>
      <c r="BI48" s="654">
        <f>IF(AND(C48="Normal uge 6",B48="ma"),'Normal uger'!$BW$48,0)</f>
        <v>0</v>
      </c>
      <c r="BJ48" s="654">
        <f>IF(AND(C48="Normal uge 6",B48="ti"),'Normal uger'!$BY$48,0)</f>
        <v>0</v>
      </c>
      <c r="BK48" s="654">
        <f>IF(AND(C48="Normal uge 6",B48="on"),'Normal uger'!$CA$48,0)</f>
        <v>0</v>
      </c>
      <c r="BL48" s="654">
        <f>IF(AND(C48="Normal uge 6",B48="to"),'Normal uger'!$CC$48,0)</f>
        <v>0</v>
      </c>
      <c r="BM48" s="654">
        <f>IF(AND(C48="Normal uge 6",B48="fr"),'Normal uger'!$CE$48,0)</f>
        <v>0</v>
      </c>
      <c r="BN48" s="1">
        <f t="shared" si="19"/>
        <v>0</v>
      </c>
      <c r="BO48" s="125">
        <f t="shared" si="4"/>
        <v>0</v>
      </c>
      <c r="BP48" s="358">
        <f t="shared" si="20"/>
        <v>0</v>
      </c>
      <c r="BQ48" s="358">
        <f t="shared" si="21"/>
        <v>0</v>
      </c>
      <c r="BR48" s="358">
        <f t="shared" si="5"/>
        <v>0</v>
      </c>
      <c r="BS48" s="358">
        <f t="shared" si="6"/>
        <v>0</v>
      </c>
      <c r="BT48" s="358">
        <f t="shared" si="7"/>
        <v>0</v>
      </c>
      <c r="BU48" s="358">
        <f>IF(C48="Rul 1",Rul!$E$49,0)</f>
        <v>0</v>
      </c>
      <c r="BV48" s="358">
        <f>IF(C48="Rul 2",Rul!$G$49,0)</f>
        <v>0</v>
      </c>
      <c r="BW48" s="358">
        <f>IF(C48="Rul 3",Rul!$I$49,0)</f>
        <v>0</v>
      </c>
      <c r="BX48" s="358">
        <f>IF(C48="Rul 4",Rul!$K$49,0)</f>
        <v>0</v>
      </c>
      <c r="BY48" s="358">
        <f>IF(C48="Rul 5",Rul!$M$49,0)</f>
        <v>0</v>
      </c>
      <c r="BZ48" s="358">
        <f>IF(C48="Rul 6",Rul!$O$49,0)</f>
        <v>0</v>
      </c>
      <c r="CA48" s="359">
        <f>IF(AND(C48="Normal uge 1",B48="ma"),'Normal uger'!$E$51,0)</f>
        <v>0</v>
      </c>
      <c r="CB48" s="359">
        <f>IF(AND(C48="Normal uge 1",B48="ti"),'Normal uger'!$G$51,0)</f>
        <v>0</v>
      </c>
      <c r="CC48" s="359">
        <f>IF(AND(C48="Normal uge 1",B48="on"),'Normal uger'!$I$51,0)</f>
        <v>0</v>
      </c>
      <c r="CD48" s="359">
        <f>IF(AND(C48="Normal uge 1",B48="to"),'Normal uger'!$K$51,0)</f>
        <v>0</v>
      </c>
      <c r="CE48" s="359">
        <f>IF(AND(C48="Normal uge 1",B48="fr"),'Normal uger'!$M$51,0)</f>
        <v>0</v>
      </c>
      <c r="CF48" s="360">
        <f>IF(AND(C48="Normal uge 2",B48="ma"),'Normal uger'!$S$51,0)</f>
        <v>0</v>
      </c>
      <c r="CG48" s="360">
        <f>IF(AND(C48="Normal uge 2",B48="ti"),'Normal uger'!$U$51,0)</f>
        <v>0</v>
      </c>
      <c r="CH48" s="360">
        <f>IF(AND(C48="Normal uge 2",B48="on"),'Normal uger'!$W$51,0)</f>
        <v>0</v>
      </c>
      <c r="CI48" s="360">
        <f>IF(AND(C48="Normal uge 2",B48="to"),'Normal uger'!$Y$51,0)</f>
        <v>0</v>
      </c>
      <c r="CJ48" s="360">
        <f>IF(AND(C48="Normal uge 2",B48="fr"),'Normal uger'!$AA$51,0)</f>
        <v>0</v>
      </c>
      <c r="CK48" s="361">
        <f>IF(AND(C48="Normal uge 3",B48="ma"),'Normal uger'!$AG$51,0)</f>
        <v>0</v>
      </c>
      <c r="CL48" s="361">
        <f>IF(AND(C48="Normal uge 3",B48="ti"),'Normal uger'!$AI$51,0)</f>
        <v>0</v>
      </c>
      <c r="CM48" s="361">
        <f>IF(AND(C48="Normal uge 3",B48="on"),'Normal uger'!$AK$51,0)</f>
        <v>0</v>
      </c>
      <c r="CN48" s="361">
        <f>IF(AND(C48="Normal uge 3",B48="to"),'Normal uger'!$AM$51,0)</f>
        <v>0</v>
      </c>
      <c r="CO48" s="361">
        <f>IF(AND(C48="Normal uge 3",B48="fr"),'Normal uger'!$AO$51,0)</f>
        <v>0</v>
      </c>
      <c r="CP48" s="362">
        <f>IF(AND(C48="Normal uge 4",B48="ma"),'Normal uger'!$AU$51,0)</f>
        <v>0</v>
      </c>
      <c r="CQ48" s="362">
        <f>IF(AND(C48="Normal uge 4",B48="ti"),'Normal uger'!$AW$51,0)</f>
        <v>0</v>
      </c>
      <c r="CR48" s="362">
        <f>IF(AND(C48="Normal uge 4",B48="on"),'Normal uger'!$AY$51,0)</f>
        <v>0</v>
      </c>
      <c r="CS48" s="362">
        <f>IF(AND(C48="Normal uge 4",B48="to"),'Normal uger'!$BA$51,0)</f>
        <v>0</v>
      </c>
      <c r="CT48" s="362">
        <f>IF(AND(C48="Normal uge 4",B48="fr"),'Normal uger'!$BC$51,0)</f>
        <v>0</v>
      </c>
      <c r="CU48" s="655">
        <f>IF(AND(C48="Normal uge 5",B48="ma"),'Normal uger'!$BI$51,0)</f>
        <v>0</v>
      </c>
      <c r="CV48" s="655">
        <f>IF(AND(C48="Normal uge 5",B48="ti"),'Normal uger'!$BK$51,0)</f>
        <v>0</v>
      </c>
      <c r="CW48" s="655">
        <f>IF(AND(C48="Normal uge 5",B48="on"),'Normal uger'!$BM$51,0)</f>
        <v>0</v>
      </c>
      <c r="CX48" s="655">
        <f>IF(AND(C48="Normal uge 5",B48="to"),'Normal uger'!$BO$51,0)</f>
        <v>0</v>
      </c>
      <c r="CY48" s="655">
        <f>IF(AND(C48="Normal uge 5",B48="fr"),'Normal uger'!$BQ$51,0)</f>
        <v>0</v>
      </c>
      <c r="CZ48" s="654">
        <f>IF(AND(C48="Normal uge 6",B48="ma"),'Normal uger'!$BW$51,0)</f>
        <v>0</v>
      </c>
      <c r="DA48" s="654">
        <f>IF(AND(C48="Normal uge 6",B48="ti"),'Normal uger'!$BY$51,0)</f>
        <v>0</v>
      </c>
      <c r="DB48" s="654">
        <f>IF(AND(C48="Normal uge 6",B48="on"),'Normal uger'!$CA$51,0)</f>
        <v>0</v>
      </c>
      <c r="DC48" s="654">
        <f>IF(AND(C48="Normal uge 6",B48="to"),'Normal uger'!$CC$51,0)</f>
        <v>0</v>
      </c>
      <c r="DD48" s="654">
        <f>IF(AND(C48="Normal uge 6",B48="fr"),'Normal uger'!$CE$51,0)</f>
        <v>0</v>
      </c>
      <c r="DE48" s="1">
        <f t="shared" si="22"/>
        <v>0</v>
      </c>
      <c r="DF48" t="str">
        <f t="shared" si="8"/>
        <v/>
      </c>
      <c r="DG48">
        <f t="shared" si="9"/>
        <v>0</v>
      </c>
      <c r="DH48">
        <f t="shared" si="10"/>
        <v>0</v>
      </c>
      <c r="DI48" t="str">
        <f t="shared" si="11"/>
        <v/>
      </c>
      <c r="DJ48" t="str">
        <f t="shared" si="11"/>
        <v/>
      </c>
      <c r="DK48" t="str">
        <f t="shared" si="23"/>
        <v/>
      </c>
      <c r="DL48" t="str">
        <f t="shared" si="24"/>
        <v/>
      </c>
    </row>
    <row r="49" spans="1:116">
      <c r="A49" s="135">
        <f t="shared" si="12"/>
        <v>30</v>
      </c>
      <c r="B49" s="72" t="str">
        <f t="shared" si="0"/>
        <v>lø</v>
      </c>
      <c r="C49" s="73" t="s">
        <v>77</v>
      </c>
      <c r="D49" s="74" t="str">
        <f t="shared" si="1"/>
        <v/>
      </c>
      <c r="E49" s="858"/>
      <c r="F49" s="859"/>
      <c r="G49" s="860"/>
      <c r="H49" s="175"/>
      <c r="I49" s="221"/>
      <c r="J49" s="221"/>
      <c r="K49" s="191">
        <f t="shared" si="25"/>
        <v>0</v>
      </c>
      <c r="L49" s="191">
        <f t="shared" si="13"/>
        <v>0</v>
      </c>
      <c r="M49" s="238"/>
      <c r="N49" s="357"/>
      <c r="O49" s="408"/>
      <c r="P49" s="407"/>
      <c r="Q49" s="196"/>
      <c r="R49" s="254"/>
      <c r="S49" s="192"/>
      <c r="T49" s="255"/>
      <c r="U49" s="193"/>
      <c r="V49">
        <f t="shared" si="14"/>
        <v>0</v>
      </c>
      <c r="W49">
        <f t="shared" si="2"/>
        <v>0</v>
      </c>
      <c r="X49" s="358">
        <f t="shared" si="15"/>
        <v>0</v>
      </c>
      <c r="Y49" s="358">
        <f t="shared" si="16"/>
        <v>0</v>
      </c>
      <c r="Z49" s="358">
        <f t="shared" si="3"/>
        <v>0</v>
      </c>
      <c r="AA49" s="358">
        <f t="shared" si="17"/>
        <v>0</v>
      </c>
      <c r="AB49" s="358">
        <f t="shared" si="18"/>
        <v>0</v>
      </c>
      <c r="AC49" s="358">
        <f>IF(C49="Orlov",Stamoplysninger!$E$21*7.4,0)</f>
        <v>0</v>
      </c>
      <c r="AD49" s="358">
        <f>IF(C49="Rul 1",Rul!$E$46,0)</f>
        <v>0</v>
      </c>
      <c r="AE49" s="358">
        <f>IF(C49="Rul 2",Rul!$G$46,0)</f>
        <v>0</v>
      </c>
      <c r="AF49" s="358">
        <f>IF(C49="Rul 3",Rul!$I$46,0)</f>
        <v>0</v>
      </c>
      <c r="AG49" s="358">
        <f>IF(C49="Rul 4",Rul!$K$46,0)</f>
        <v>0</v>
      </c>
      <c r="AH49" s="358">
        <f>IF(C49="Rul 5",Rul!$M$46,0)</f>
        <v>0</v>
      </c>
      <c r="AI49" s="358">
        <f>IF(C49="Rul 6",Rul!$O$46,0)</f>
        <v>0</v>
      </c>
      <c r="AJ49" s="359">
        <f>IF(AND(C49="Normal uge 1",B49="ma"),'Normal uger'!$E$48,0)</f>
        <v>0</v>
      </c>
      <c r="AK49" s="359">
        <f>IF(AND(C49="Normal uge 1",B49="ti"),'Normal uger'!$G$48,0)</f>
        <v>0</v>
      </c>
      <c r="AL49" s="359">
        <f>IF(AND(C49="Normal uge 1",B49="on"),'Normal uger'!$I$48,0)</f>
        <v>0</v>
      </c>
      <c r="AM49" s="359">
        <f>IF(AND(C49="Normal uge 1",B49="to"),'Normal uger'!$K$48,0)</f>
        <v>0</v>
      </c>
      <c r="AN49" s="359">
        <f>IF(AND(C49="Normal uge 1",B49="fr"),'Normal uger'!$M$48,0)</f>
        <v>0</v>
      </c>
      <c r="AO49" s="360">
        <f>IF(AND(C49="Normal uge 2",B49="ma"),'Normal uger'!$S$48,0)</f>
        <v>0</v>
      </c>
      <c r="AP49" s="360">
        <f>IF(AND(C49="Normal uge 2",B49="ti"),'Normal uger'!$U$48,0)</f>
        <v>0</v>
      </c>
      <c r="AQ49" s="360">
        <f>IF(AND(C49="Normal uge 2",B49="on"),'Normal uger'!$W$48,0)</f>
        <v>0</v>
      </c>
      <c r="AR49" s="360">
        <f>IF(AND(C49="Normal uge 2",B49="to"),'Normal uger'!$Y$48,0)</f>
        <v>0</v>
      </c>
      <c r="AS49" s="360">
        <f>IF(AND(C49="Normal uge 2",B49="fr"),'Normal uger'!$AA$48,0)</f>
        <v>0</v>
      </c>
      <c r="AT49" s="361">
        <f>IF(AND(C49="Normal uge 3",B49="ma"),'Normal uger'!$AG$48,0)</f>
        <v>0</v>
      </c>
      <c r="AU49" s="361">
        <f>IF(AND(C49="Normal uge 3",B49="ti"),'Normal uger'!$AI$48,0)</f>
        <v>0</v>
      </c>
      <c r="AV49" s="361">
        <f>IF(AND(C49="Normal uge 3",B49="on"),'Normal uger'!$AK$48,0)</f>
        <v>0</v>
      </c>
      <c r="AW49" s="361">
        <f>IF(AND(C49="Normal uge 3",B49="to"),'Normal uger'!$AM$48,0)</f>
        <v>0</v>
      </c>
      <c r="AX49" s="361">
        <f>IF(AND(C49="Normal uge 3",B49="fr"),'Normal uger'!$AO$48,0)</f>
        <v>0</v>
      </c>
      <c r="AY49" s="362">
        <f>IF(AND(C49="Normal uge 4",B49="ma"),'Normal uger'!$AU$48,0)</f>
        <v>0</v>
      </c>
      <c r="AZ49" s="362">
        <f>IF(AND(C49="Normal uge 4",B49="ti"),'Normal uger'!$AW$48,0)</f>
        <v>0</v>
      </c>
      <c r="BA49" s="362">
        <f>IF(AND(C49="Normal uge 4",B49="on"),'Normal uger'!$AY$48,0)</f>
        <v>0</v>
      </c>
      <c r="BB49" s="362">
        <f>IF(AND(C49="Normal uge 4",B49="to"),'Normal uger'!$BA$48,0)</f>
        <v>0</v>
      </c>
      <c r="BC49" s="362">
        <f>IF(AND(C49="Normal uge 4",B49="fr"),'Normal uger'!$BC$48,0)</f>
        <v>0</v>
      </c>
      <c r="BD49" s="655">
        <f>IF(AND(C49="Normal uge 5",B49="ma"),'Normal uger'!$BI$48,0)</f>
        <v>0</v>
      </c>
      <c r="BE49" s="655">
        <f>IF(AND(C49="Normal uge 5",B49="ti"),'Normal uger'!$BK$48,0)</f>
        <v>0</v>
      </c>
      <c r="BF49" s="655">
        <f>IF(AND(C49="Normal uge 5",B49="on"),'Normal uger'!$BM$48,0)</f>
        <v>0</v>
      </c>
      <c r="BG49" s="655">
        <f>IF(AND(C49="Normal uge 5",B49="to"),'Normal uger'!$BO$48,0)</f>
        <v>0</v>
      </c>
      <c r="BH49" s="655">
        <f>IF(AND(C49="Normal uge 5",B49="fr"),'Normal uger'!$BQ$48,0)</f>
        <v>0</v>
      </c>
      <c r="BI49" s="654">
        <f>IF(AND(C49="Normal uge 6",B49="ma"),'Normal uger'!$BW$48,0)</f>
        <v>0</v>
      </c>
      <c r="BJ49" s="654">
        <f>IF(AND(C49="Normal uge 6",B49="ti"),'Normal uger'!$BY$48,0)</f>
        <v>0</v>
      </c>
      <c r="BK49" s="654">
        <f>IF(AND(C49="Normal uge 6",B49="on"),'Normal uger'!$CA$48,0)</f>
        <v>0</v>
      </c>
      <c r="BL49" s="654">
        <f>IF(AND(C49="Normal uge 6",B49="to"),'Normal uger'!$CC$48,0)</f>
        <v>0</v>
      </c>
      <c r="BM49" s="654">
        <f>IF(AND(C49="Normal uge 6",B49="fr"),'Normal uger'!$CE$48,0)</f>
        <v>0</v>
      </c>
      <c r="BN49" s="1">
        <f t="shared" si="19"/>
        <v>0</v>
      </c>
      <c r="BO49" s="125">
        <f t="shared" si="4"/>
        <v>0</v>
      </c>
      <c r="BP49" s="358">
        <f t="shared" si="20"/>
        <v>0</v>
      </c>
      <c r="BQ49" s="358">
        <f t="shared" si="21"/>
        <v>0</v>
      </c>
      <c r="BR49" s="358">
        <f t="shared" si="5"/>
        <v>0</v>
      </c>
      <c r="BS49" s="358">
        <f t="shared" si="6"/>
        <v>0</v>
      </c>
      <c r="BT49" s="358">
        <f t="shared" si="7"/>
        <v>0</v>
      </c>
      <c r="BU49" s="358">
        <f>IF(C49="Rul 1",Rul!$E$49,0)</f>
        <v>0</v>
      </c>
      <c r="BV49" s="358">
        <f>IF(C49="Rul 2",Rul!$G$49,0)</f>
        <v>0</v>
      </c>
      <c r="BW49" s="358">
        <f>IF(C49="Rul 3",Rul!$I$49,0)</f>
        <v>0</v>
      </c>
      <c r="BX49" s="358">
        <f>IF(C49="Rul 4",Rul!$K$49,0)</f>
        <v>0</v>
      </c>
      <c r="BY49" s="358">
        <f>IF(C49="Rul 5",Rul!$M$49,0)</f>
        <v>0</v>
      </c>
      <c r="BZ49" s="358">
        <f>IF(C49="Rul 6",Rul!$O$49,0)</f>
        <v>0</v>
      </c>
      <c r="CA49" s="359">
        <f>IF(AND(C49="Normal uge 1",B49="ma"),'Normal uger'!$E$51,0)</f>
        <v>0</v>
      </c>
      <c r="CB49" s="359">
        <f>IF(AND(C49="Normal uge 1",B49="ti"),'Normal uger'!$G$51,0)</f>
        <v>0</v>
      </c>
      <c r="CC49" s="359">
        <f>IF(AND(C49="Normal uge 1",B49="on"),'Normal uger'!$I$51,0)</f>
        <v>0</v>
      </c>
      <c r="CD49" s="359">
        <f>IF(AND(C49="Normal uge 1",B49="to"),'Normal uger'!$K$51,0)</f>
        <v>0</v>
      </c>
      <c r="CE49" s="359">
        <f>IF(AND(C49="Normal uge 1",B49="fr"),'Normal uger'!$M$51,0)</f>
        <v>0</v>
      </c>
      <c r="CF49" s="360">
        <f>IF(AND(C49="Normal uge 2",B49="ma"),'Normal uger'!$S$51,0)</f>
        <v>0</v>
      </c>
      <c r="CG49" s="360">
        <f>IF(AND(C49="Normal uge 2",B49="ti"),'Normal uger'!$U$51,0)</f>
        <v>0</v>
      </c>
      <c r="CH49" s="360">
        <f>IF(AND(C49="Normal uge 2",B49="on"),'Normal uger'!$W$51,0)</f>
        <v>0</v>
      </c>
      <c r="CI49" s="360">
        <f>IF(AND(C49="Normal uge 2",B49="to"),'Normal uger'!$Y$51,0)</f>
        <v>0</v>
      </c>
      <c r="CJ49" s="360">
        <f>IF(AND(C49="Normal uge 2",B49="fr"),'Normal uger'!$AA$51,0)</f>
        <v>0</v>
      </c>
      <c r="CK49" s="361">
        <f>IF(AND(C49="Normal uge 3",B49="ma"),'Normal uger'!$AG$51,0)</f>
        <v>0</v>
      </c>
      <c r="CL49" s="361">
        <f>IF(AND(C49="Normal uge 3",B49="ti"),'Normal uger'!$AI$51,0)</f>
        <v>0</v>
      </c>
      <c r="CM49" s="361">
        <f>IF(AND(C49="Normal uge 3",B49="on"),'Normal uger'!$AK$51,0)</f>
        <v>0</v>
      </c>
      <c r="CN49" s="361">
        <f>IF(AND(C49="Normal uge 3",B49="to"),'Normal uger'!$AM$51,0)</f>
        <v>0</v>
      </c>
      <c r="CO49" s="361">
        <f>IF(AND(C49="Normal uge 3",B49="fr"),'Normal uger'!$AO$51,0)</f>
        <v>0</v>
      </c>
      <c r="CP49" s="362">
        <f>IF(AND(C49="Normal uge 4",B49="ma"),'Normal uger'!$AU$51,0)</f>
        <v>0</v>
      </c>
      <c r="CQ49" s="362">
        <f>IF(AND(C49="Normal uge 4",B49="ti"),'Normal uger'!$AW$51,0)</f>
        <v>0</v>
      </c>
      <c r="CR49" s="362">
        <f>IF(AND(C49="Normal uge 4",B49="on"),'Normal uger'!$AY$51,0)</f>
        <v>0</v>
      </c>
      <c r="CS49" s="362">
        <f>IF(AND(C49="Normal uge 4",B49="to"),'Normal uger'!$BA$51,0)</f>
        <v>0</v>
      </c>
      <c r="CT49" s="362">
        <f>IF(AND(C49="Normal uge 4",B49="fr"),'Normal uger'!$BC$51,0)</f>
        <v>0</v>
      </c>
      <c r="CU49" s="655">
        <f>IF(AND(C49="Normal uge 5",B49="ma"),'Normal uger'!$BI$51,0)</f>
        <v>0</v>
      </c>
      <c r="CV49" s="655">
        <f>IF(AND(C49="Normal uge 5",B49="ti"),'Normal uger'!$BK$51,0)</f>
        <v>0</v>
      </c>
      <c r="CW49" s="655">
        <f>IF(AND(C49="Normal uge 5",B49="on"),'Normal uger'!$BM$51,0)</f>
        <v>0</v>
      </c>
      <c r="CX49" s="655">
        <f>IF(AND(C49="Normal uge 5",B49="to"),'Normal uger'!$BO$51,0)</f>
        <v>0</v>
      </c>
      <c r="CY49" s="655">
        <f>IF(AND(C49="Normal uge 5",B49="fr"),'Normal uger'!$BQ$51,0)</f>
        <v>0</v>
      </c>
      <c r="CZ49" s="654">
        <f>IF(AND(C49="Normal uge 6",B49="ma"),'Normal uger'!$BW$51,0)</f>
        <v>0</v>
      </c>
      <c r="DA49" s="654">
        <f>IF(AND(C49="Normal uge 6",B49="ti"),'Normal uger'!$BY$51,0)</f>
        <v>0</v>
      </c>
      <c r="DB49" s="654">
        <f>IF(AND(C49="Normal uge 6",B49="on"),'Normal uger'!$CA$51,0)</f>
        <v>0</v>
      </c>
      <c r="DC49" s="654">
        <f>IF(AND(C49="Normal uge 6",B49="to"),'Normal uger'!$CC$51,0)</f>
        <v>0</v>
      </c>
      <c r="DD49" s="654">
        <f>IF(AND(C49="Normal uge 6",B49="fr"),'Normal uger'!$CE$51,0)</f>
        <v>0</v>
      </c>
      <c r="DE49" s="1">
        <f t="shared" si="22"/>
        <v>0</v>
      </c>
      <c r="DF49" t="str">
        <f t="shared" si="8"/>
        <v/>
      </c>
      <c r="DG49">
        <f t="shared" si="9"/>
        <v>0</v>
      </c>
      <c r="DH49">
        <f t="shared" si="10"/>
        <v>0</v>
      </c>
      <c r="DI49" t="str">
        <f t="shared" si="11"/>
        <v/>
      </c>
      <c r="DJ49" t="str">
        <f t="shared" si="11"/>
        <v/>
      </c>
      <c r="DK49" t="str">
        <f t="shared" si="23"/>
        <v/>
      </c>
      <c r="DL49" t="str">
        <f t="shared" si="24"/>
        <v/>
      </c>
    </row>
    <row r="50" spans="1:116">
      <c r="A50" s="135">
        <f>IF(ISNUMBER(A49),A49+1,1)</f>
        <v>31</v>
      </c>
      <c r="B50" s="72" t="str">
        <f t="shared" si="0"/>
        <v>sø</v>
      </c>
      <c r="C50" s="73" t="s">
        <v>77</v>
      </c>
      <c r="D50" s="74" t="str">
        <f t="shared" si="1"/>
        <v/>
      </c>
      <c r="E50" s="861"/>
      <c r="F50" s="862"/>
      <c r="G50" s="863"/>
      <c r="H50" s="174"/>
      <c r="I50" s="221"/>
      <c r="J50" s="221"/>
      <c r="K50" s="191">
        <f t="shared" si="25"/>
        <v>0</v>
      </c>
      <c r="L50" s="191">
        <f t="shared" si="13"/>
        <v>0</v>
      </c>
      <c r="M50" s="238"/>
      <c r="N50" s="357"/>
      <c r="O50" s="408"/>
      <c r="P50" s="407"/>
      <c r="Q50" s="196"/>
      <c r="R50" s="118"/>
      <c r="S50" s="192"/>
      <c r="T50" s="255"/>
      <c r="U50" s="256"/>
      <c r="V50">
        <f t="shared" si="14"/>
        <v>0</v>
      </c>
      <c r="W50">
        <f t="shared" si="2"/>
        <v>0</v>
      </c>
      <c r="X50" s="358">
        <f t="shared" si="15"/>
        <v>0</v>
      </c>
      <c r="Y50" s="358">
        <f t="shared" si="16"/>
        <v>0</v>
      </c>
      <c r="Z50" s="358">
        <f t="shared" si="3"/>
        <v>0</v>
      </c>
      <c r="AA50" s="358">
        <f t="shared" si="17"/>
        <v>0</v>
      </c>
      <c r="AB50" s="358">
        <f t="shared" si="18"/>
        <v>0</v>
      </c>
      <c r="AC50" s="358">
        <f>IF(C50="Orlov",Stamoplysninger!$E$21*7.4,0)</f>
        <v>0</v>
      </c>
      <c r="AD50" s="358">
        <f>IF(C50="Rul 1",Rul!$E$46,0)</f>
        <v>0</v>
      </c>
      <c r="AE50" s="358">
        <f>IF(C50="Rul 2",Rul!$G$46,0)</f>
        <v>0</v>
      </c>
      <c r="AF50" s="358">
        <f>IF(C50="Rul 3",Rul!$I$46,0)</f>
        <v>0</v>
      </c>
      <c r="AG50" s="358">
        <f>IF(C50="Rul 4",Rul!$K$46,0)</f>
        <v>0</v>
      </c>
      <c r="AH50" s="358">
        <f>IF(C50="Rul 5",Rul!$M$46,0)</f>
        <v>0</v>
      </c>
      <c r="AI50" s="358">
        <f>IF(C50="Rul 6",Rul!$O$46,0)</f>
        <v>0</v>
      </c>
      <c r="AJ50" s="359">
        <f>IF(AND(C50="Normal uge 1",B50="ma"),'Normal uger'!$E$48,0)</f>
        <v>0</v>
      </c>
      <c r="AK50" s="359">
        <f>IF(AND(C50="Normal uge 1",B50="ti"),'Normal uger'!$G$48,0)</f>
        <v>0</v>
      </c>
      <c r="AL50" s="359">
        <f>IF(AND(C50="Normal uge 1",B50="on"),'Normal uger'!$I$48,0)</f>
        <v>0</v>
      </c>
      <c r="AM50" s="359">
        <f>IF(AND(C50="Normal uge 1",B50="to"),'Normal uger'!$K$48,0)</f>
        <v>0</v>
      </c>
      <c r="AN50" s="359">
        <f>IF(AND(C50="Normal uge 1",B50="fr"),'Normal uger'!$M$48,0)</f>
        <v>0</v>
      </c>
      <c r="AO50" s="360">
        <f>IF(AND(C50="Normal uge 2",B50="ma"),'Normal uger'!$S$48,0)</f>
        <v>0</v>
      </c>
      <c r="AP50" s="360">
        <f>IF(AND(C50="Normal uge 2",B50="ti"),'Normal uger'!$U$48,0)</f>
        <v>0</v>
      </c>
      <c r="AQ50" s="360">
        <f>IF(AND(C50="Normal uge 2",B50="on"),'Normal uger'!$W$48,0)</f>
        <v>0</v>
      </c>
      <c r="AR50" s="360">
        <f>IF(AND(C50="Normal uge 2",B50="to"),'Normal uger'!$Y$48,0)</f>
        <v>0</v>
      </c>
      <c r="AS50" s="360">
        <f>IF(AND(C50="Normal uge 2",B50="fr"),'Normal uger'!$AA$48,0)</f>
        <v>0</v>
      </c>
      <c r="AT50" s="361">
        <f>IF(AND(C50="Normal uge 3",B50="ma"),'Normal uger'!$AG$48,0)</f>
        <v>0</v>
      </c>
      <c r="AU50" s="361">
        <f>IF(AND(C50="Normal uge 3",B50="ti"),'Normal uger'!$AI$48,0)</f>
        <v>0</v>
      </c>
      <c r="AV50" s="361">
        <f>IF(AND(C50="Normal uge 3",B50="on"),'Normal uger'!$AK$48,0)</f>
        <v>0</v>
      </c>
      <c r="AW50" s="361">
        <f>IF(AND(C50="Normal uge 3",B50="to"),'Normal uger'!$AM$48,0)</f>
        <v>0</v>
      </c>
      <c r="AX50" s="361">
        <f>IF(AND(C50="Normal uge 3",B50="fr"),'Normal uger'!$AO$48,0)</f>
        <v>0</v>
      </c>
      <c r="AY50" s="362">
        <f>IF(AND(C50="Normal uge 4",B50="ma"),'Normal uger'!$AU$48,0)</f>
        <v>0</v>
      </c>
      <c r="AZ50" s="362">
        <f>IF(AND(C50="Normal uge 4",B50="ti"),'Normal uger'!$AW$48,0)</f>
        <v>0</v>
      </c>
      <c r="BA50" s="362">
        <f>IF(AND(C50="Normal uge 4",B50="on"),'Normal uger'!$AY$48,0)</f>
        <v>0</v>
      </c>
      <c r="BB50" s="362">
        <f>IF(AND(C50="Normal uge 4",B50="to"),'Normal uger'!$BA$48,0)</f>
        <v>0</v>
      </c>
      <c r="BC50" s="362">
        <f>IF(AND(C50="Normal uge 4",B50="fr"),'Normal uger'!$BC$48,0)</f>
        <v>0</v>
      </c>
      <c r="BD50" s="655">
        <f>IF(AND(C50="Normal uge 5",B50="ma"),'Normal uger'!$BI$48,0)</f>
        <v>0</v>
      </c>
      <c r="BE50" s="655">
        <f>IF(AND(C50="Normal uge 5",B50="ti"),'Normal uger'!$BK$48,0)</f>
        <v>0</v>
      </c>
      <c r="BF50" s="655">
        <f>IF(AND(C50="Normal uge 5",B50="on"),'Normal uger'!$BM$48,0)</f>
        <v>0</v>
      </c>
      <c r="BG50" s="655">
        <f>IF(AND(C50="Normal uge 5",B50="to"),'Normal uger'!$BO$48,0)</f>
        <v>0</v>
      </c>
      <c r="BH50" s="655">
        <f>IF(AND(C50="Normal uge 5",B50="fr"),'Normal uger'!$BQ$48,0)</f>
        <v>0</v>
      </c>
      <c r="BI50" s="654">
        <f>IF(AND(C50="Normal uge 6",B50="ma"),'Normal uger'!$BW$48,0)</f>
        <v>0</v>
      </c>
      <c r="BJ50" s="654">
        <f>IF(AND(C50="Normal uge 6",B50="ti"),'Normal uger'!$BY$48,0)</f>
        <v>0</v>
      </c>
      <c r="BK50" s="654">
        <f>IF(AND(C50="Normal uge 6",B50="on"),'Normal uger'!$CA$48,0)</f>
        <v>0</v>
      </c>
      <c r="BL50" s="654">
        <f>IF(AND(C50="Normal uge 6",B50="to"),'Normal uger'!$CC$48,0)</f>
        <v>0</v>
      </c>
      <c r="BM50" s="654">
        <f>IF(AND(C50="Normal uge 6",B50="fr"),'Normal uger'!$CE$48,0)</f>
        <v>0</v>
      </c>
      <c r="BN50" s="1">
        <f t="shared" si="19"/>
        <v>0</v>
      </c>
      <c r="BO50" s="125">
        <f t="shared" si="4"/>
        <v>0</v>
      </c>
      <c r="BP50" s="358">
        <f t="shared" si="20"/>
        <v>0</v>
      </c>
      <c r="BQ50" s="358">
        <f t="shared" si="21"/>
        <v>0</v>
      </c>
      <c r="BR50" s="358">
        <f t="shared" si="5"/>
        <v>0</v>
      </c>
      <c r="BS50" s="358">
        <f t="shared" si="6"/>
        <v>0</v>
      </c>
      <c r="BT50" s="358">
        <f t="shared" si="7"/>
        <v>0</v>
      </c>
      <c r="BU50" s="358">
        <f>IF(C50="Rul 1",Rul!$E$49,0)</f>
        <v>0</v>
      </c>
      <c r="BV50" s="358">
        <f>IF(C50="Rul 2",Rul!$G$49,0)</f>
        <v>0</v>
      </c>
      <c r="BW50" s="358">
        <f>IF(C50="Rul 3",Rul!$I$49,0)</f>
        <v>0</v>
      </c>
      <c r="BX50" s="358">
        <f>IF(C50="Rul 4",Rul!$K$49,0)</f>
        <v>0</v>
      </c>
      <c r="BY50" s="358">
        <f>IF(C50="Rul 5",Rul!$M$49,0)</f>
        <v>0</v>
      </c>
      <c r="BZ50" s="358">
        <f>IF(C50="Rul 6",Rul!$O$49,0)</f>
        <v>0</v>
      </c>
      <c r="CA50" s="359">
        <f>IF(AND(C50="Normal uge 1",B50="ma"),'Normal uger'!$E$51,0)</f>
        <v>0</v>
      </c>
      <c r="CB50" s="359">
        <f>IF(AND(C50="Normal uge 1",B50="ti"),'Normal uger'!$G$51,0)</f>
        <v>0</v>
      </c>
      <c r="CC50" s="359">
        <f>IF(AND(C50="Normal uge 1",B50="on"),'Normal uger'!$I$51,0)</f>
        <v>0</v>
      </c>
      <c r="CD50" s="359">
        <f>IF(AND(C50="Normal uge 1",B50="to"),'Normal uger'!$K$51,0)</f>
        <v>0</v>
      </c>
      <c r="CE50" s="359">
        <f>IF(AND(C50="Normal uge 1",B50="fr"),'Normal uger'!$M$51,0)</f>
        <v>0</v>
      </c>
      <c r="CF50" s="360">
        <f>IF(AND(C50="Normal uge 2",B50="ma"),'Normal uger'!$S$51,0)</f>
        <v>0</v>
      </c>
      <c r="CG50" s="360">
        <f>IF(AND(C50="Normal uge 2",B50="ti"),'Normal uger'!$U$51,0)</f>
        <v>0</v>
      </c>
      <c r="CH50" s="360">
        <f>IF(AND(C50="Normal uge 2",B50="on"),'Normal uger'!$W$51,0)</f>
        <v>0</v>
      </c>
      <c r="CI50" s="360">
        <f>IF(AND(C50="Normal uge 2",B50="to"),'Normal uger'!$Y$51,0)</f>
        <v>0</v>
      </c>
      <c r="CJ50" s="360">
        <f>IF(AND(C50="Normal uge 2",B50="fr"),'Normal uger'!$AA$51,0)</f>
        <v>0</v>
      </c>
      <c r="CK50" s="361">
        <f>IF(AND(C50="Normal uge 3",B50="ma"),'Normal uger'!$AG$51,0)</f>
        <v>0</v>
      </c>
      <c r="CL50" s="361">
        <f>IF(AND(C50="Normal uge 3",B50="ti"),'Normal uger'!$AI$51,0)</f>
        <v>0</v>
      </c>
      <c r="CM50" s="361">
        <f>IF(AND(C50="Normal uge 3",B50="on"),'Normal uger'!$AK$51,0)</f>
        <v>0</v>
      </c>
      <c r="CN50" s="361">
        <f>IF(AND(C50="Normal uge 3",B50="to"),'Normal uger'!$AM$51,0)</f>
        <v>0</v>
      </c>
      <c r="CO50" s="361">
        <f>IF(AND(C50="Normal uge 3",B50="fr"),'Normal uger'!$AO$51,0)</f>
        <v>0</v>
      </c>
      <c r="CP50" s="362">
        <f>IF(AND(C50="Normal uge 4",B50="ma"),'Normal uger'!$AU$51,0)</f>
        <v>0</v>
      </c>
      <c r="CQ50" s="362">
        <f>IF(AND(C50="Normal uge 4",B50="ti"),'Normal uger'!$AW$51,0)</f>
        <v>0</v>
      </c>
      <c r="CR50" s="362">
        <f>IF(AND(C50="Normal uge 4",B50="on"),'Normal uger'!$AY$51,0)</f>
        <v>0</v>
      </c>
      <c r="CS50" s="362">
        <f>IF(AND(C50="Normal uge 4",B50="to"),'Normal uger'!$BA$51,0)</f>
        <v>0</v>
      </c>
      <c r="CT50" s="362">
        <f>IF(AND(C50="Normal uge 4",B50="fr"),'Normal uger'!$BC$51,0)</f>
        <v>0</v>
      </c>
      <c r="CU50" s="655">
        <f>IF(AND(C50="Normal uge 5",B50="ma"),'Normal uger'!$BI$51,0)</f>
        <v>0</v>
      </c>
      <c r="CV50" s="655">
        <f>IF(AND(C50="Normal uge 5",B50="ti"),'Normal uger'!$BK$51,0)</f>
        <v>0</v>
      </c>
      <c r="CW50" s="655">
        <f>IF(AND(C50="Normal uge 5",B50="on"),'Normal uger'!$BM$51,0)</f>
        <v>0</v>
      </c>
      <c r="CX50" s="655">
        <f>IF(AND(C50="Normal uge 5",B50="to"),'Normal uger'!$BO$51,0)</f>
        <v>0</v>
      </c>
      <c r="CY50" s="655">
        <f>IF(AND(C50="Normal uge 5",B50="fr"),'Normal uger'!$BQ$51,0)</f>
        <v>0</v>
      </c>
      <c r="CZ50" s="654">
        <f>IF(AND(C50="Normal uge 6",B50="ma"),'Normal uger'!$BW$51,0)</f>
        <v>0</v>
      </c>
      <c r="DA50" s="654">
        <f>IF(AND(C50="Normal uge 6",B50="ti"),'Normal uger'!$BY$51,0)</f>
        <v>0</v>
      </c>
      <c r="DB50" s="654">
        <f>IF(AND(C50="Normal uge 6",B50="on"),'Normal uger'!$CA$51,0)</f>
        <v>0</v>
      </c>
      <c r="DC50" s="654">
        <f>IF(AND(C50="Normal uge 6",B50="to"),'Normal uger'!$CC$51,0)</f>
        <v>0</v>
      </c>
      <c r="DD50" s="654">
        <f>IF(AND(C50="Normal uge 6",B50="fr"),'Normal uger'!$CE$51,0)</f>
        <v>0</v>
      </c>
      <c r="DE50" s="1">
        <f t="shared" si="22"/>
        <v>0</v>
      </c>
      <c r="DF50" t="str">
        <f t="shared" si="8"/>
        <v/>
      </c>
      <c r="DG50">
        <f t="shared" si="9"/>
        <v>0</v>
      </c>
      <c r="DH50">
        <f t="shared" si="10"/>
        <v>0</v>
      </c>
      <c r="DI50" t="str">
        <f t="shared" si="11"/>
        <v/>
      </c>
      <c r="DJ50" t="str">
        <f t="shared" si="11"/>
        <v/>
      </c>
      <c r="DK50" t="str">
        <f t="shared" si="23"/>
        <v/>
      </c>
      <c r="DL50" t="str">
        <f t="shared" si="24"/>
        <v/>
      </c>
    </row>
    <row r="51" spans="1:116" ht="17" thickBot="1">
      <c r="A51" s="368" t="s">
        <v>127</v>
      </c>
      <c r="B51" s="369"/>
      <c r="C51" s="369"/>
      <c r="D51" s="369"/>
      <c r="E51" s="369"/>
      <c r="F51" s="369"/>
      <c r="G51" s="369"/>
      <c r="H51" s="369"/>
      <c r="I51" s="194"/>
      <c r="J51" s="194"/>
      <c r="K51" s="194">
        <f>SUM(K20:K50)</f>
        <v>0</v>
      </c>
      <c r="L51" s="194">
        <f t="shared" ref="L51" si="26">SUM(L20:L50)</f>
        <v>0</v>
      </c>
      <c r="M51" s="206">
        <f>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IF(H46&gt;0,M46,0)+IF(H47&gt;0,M47,0)+IF(H48&gt;0,M48,0)+IF(H49&gt;0,M49,0)+IF(H50&gt;0,M50,0)</f>
        <v>0</v>
      </c>
      <c r="N51" s="411"/>
      <c r="O51" s="412">
        <f>SUM(O20:O50)</f>
        <v>0</v>
      </c>
      <c r="P51" s="249"/>
      <c r="Q51" s="250"/>
      <c r="R51" s="250"/>
      <c r="S51" s="250">
        <f>IF(P20="x",S20,0)+IF(P21="x",S21,0)+IF(P22="x",S22,0)+IF(P23="x",S23,0)+IF(P24="x",S24,0)+IF(P25="x",S25,0)+IF(P26="x",S26,0)+IF(P27="x",S27,0)+IF(P28="x",S28,0)+IF(P29="x",S29,0)+IF(P30="x",S30,0)+IF(P31="x",S31,0)+IF(P32="x",S32,0)+IF(P33="x",S33,0)+IF(P34="x",S34,0)+IF(P35="x",S35,0)+IF(P36="x",S36,0)+IF(P37="x",S37,0)+IF(P38="x",S38,0)+IF(P39="x",S39,0)+IF(P40="x",S40,0)+IF(P41="x",S41,0)+IF(P42="x",S42,0)+IF(P43="x",S43,0)+IF(P44="x",S44,0)+IF(P45="x",S45,0)+IF(P46="x",S46,0)+IF(P47="x",S47,0)+IF(P48="x",S48,0)+IF(P49="x",S49,0)+IF(P50="x",S50,0)</f>
        <v>0</v>
      </c>
      <c r="T51" s="250">
        <f>IF(Q20="x",T20,0)+IF(Q21="x",T21,0)+IF(Q22="x",T22,0)+IF(Q23="x",T23,0)+IF(Q24="x",T24,0)+IF(Q25="x",T25,0)+IF(Q26="x",T26,0)+IF(Q27="x",T27,0)+IF(Q28="x",T28,0)+IF(Q29="x",T29,0)+IF(Q30="x",T30,0)+IF(Q31="x",T31,0)+IF(Q32="x",T32,0)+IF(Q33="x",T33,0)+IF(Q34="x",T34,0)+IF(Q35="x",T35,0)+IF(Q36="x",T36,0)+IF(Q37="x",T37,0)+IF(Q38="x",T38,0)+IF(Q39="x",T39,0)+IF(Q40="x",T40,0)+IF(Q41="x",T41,0)+IF(Q42="x",T42,0)+IF(Q43="x",T43,0)+IF(Q44="x",T44,0)+IF(Q45="x",T45,0)+IF(Q46="x",T46,0)+IF(Q47="x",T47,0)+IF(Q48="x",T48,0)+IF(Q49="x",T49,0)+IF(Q50="x",T50,0)</f>
        <v>0</v>
      </c>
      <c r="U51" s="251">
        <f>IF(R20="x",U20,0)+IF(R21="x",U21,0)+IF(R22="x",U22,0)+IF(R23="x",U23,0)+IF(R24="x",U24,0)+IF(R25="x",U25,0)+IF(R26="x",U26,0)+IF(R27="x",U27,0)+IF(R28="x",U28,0)+IF(R29="x",U29,0)+IF(R30="x",U30,0)+IF(R31="x",U31,0)+IF(R32="x",U32,0)+IF(R33="x",U33,0)+IF(R34="x",U34,0)+IF(R35="x",U35,0)+IF(R36="x",U36,0)+IF(R37="x",U37,0)+IF(R38="x",U38,0)+IF(R39="x",U39,0)+IF(R40="x",U40,0)+IF(R41="x",U41,0)+IF(R42="x",U42,0)+IF(R43="x",U43,0)+IF(R44="x",U44,0)+IF(R45="x",U45,0)+IF(R46="x",U46,0)+IF(R47="x",U47,0)+IF(R48="x",U48,0)+IF(R49="x",U49,0)+IF(R50="x",U50,0)</f>
        <v>0</v>
      </c>
      <c r="V51" s="115">
        <f>SUM(V20:V50)</f>
        <v>0</v>
      </c>
      <c r="W51" s="228">
        <f>W20+W21+W22+W23+W24+W25+W26+W27+W28+W29+W30+W31+W32+W33+W34+W35+W36+W37+W38+W39+W40+W41+W42+W43+W44+W45+W46+W47+W48+W49+W50</f>
        <v>0</v>
      </c>
      <c r="X51" s="129">
        <f t="shared" ref="X51:AC51" si="27">SUM(X20:X50)</f>
        <v>0</v>
      </c>
      <c r="Y51" s="129">
        <f t="shared" si="27"/>
        <v>0</v>
      </c>
      <c r="Z51" s="129">
        <f t="shared" si="27"/>
        <v>0</v>
      </c>
      <c r="AA51" s="129">
        <f t="shared" si="27"/>
        <v>0</v>
      </c>
      <c r="AB51" s="129">
        <f t="shared" si="27"/>
        <v>0</v>
      </c>
      <c r="AC51" s="129">
        <f t="shared" si="27"/>
        <v>0</v>
      </c>
      <c r="AD51">
        <f t="shared" ref="AD51:AI51" si="28">COUNTIF(AD20:AD50,"&gt;0")</f>
        <v>0</v>
      </c>
      <c r="AE51">
        <f t="shared" si="28"/>
        <v>0</v>
      </c>
      <c r="AF51">
        <f t="shared" si="28"/>
        <v>0</v>
      </c>
      <c r="AG51">
        <f t="shared" si="28"/>
        <v>0</v>
      </c>
      <c r="AH51">
        <f t="shared" si="28"/>
        <v>0</v>
      </c>
      <c r="AI51">
        <f t="shared" si="28"/>
        <v>0</v>
      </c>
      <c r="AJ51">
        <f t="shared" ref="AJ51:AO51" si="29">COUNTIF(AJ20:AJ50,"&gt;0")</f>
        <v>0</v>
      </c>
      <c r="AK51">
        <f t="shared" si="29"/>
        <v>0</v>
      </c>
      <c r="AL51">
        <f t="shared" si="29"/>
        <v>0</v>
      </c>
      <c r="AM51">
        <f t="shared" si="29"/>
        <v>0</v>
      </c>
      <c r="AN51">
        <f t="shared" si="29"/>
        <v>0</v>
      </c>
      <c r="AO51">
        <f t="shared" si="29"/>
        <v>0</v>
      </c>
      <c r="AP51">
        <f t="shared" ref="AP51" si="30">COUNTIF(AP20:AP50,"&gt;0")</f>
        <v>0</v>
      </c>
      <c r="AQ51">
        <f t="shared" ref="AQ51" si="31">COUNTIF(AQ20:AQ50,"&gt;0")</f>
        <v>0</v>
      </c>
      <c r="AR51">
        <f t="shared" ref="AR51" si="32">COUNTIF(AR20:AR50,"&gt;0")</f>
        <v>0</v>
      </c>
      <c r="AS51">
        <f t="shared" ref="AS51:AT51" si="33">COUNTIF(AS20:AS50,"&gt;0")</f>
        <v>0</v>
      </c>
      <c r="AT51">
        <f t="shared" si="33"/>
        <v>0</v>
      </c>
      <c r="AU51">
        <f t="shared" ref="AU51" si="34">COUNTIF(AU20:AU50,"&gt;0")</f>
        <v>0</v>
      </c>
      <c r="AV51">
        <f t="shared" ref="AV51" si="35">COUNTIF(AV20:AV50,"&gt;0")</f>
        <v>0</v>
      </c>
      <c r="AW51">
        <f t="shared" ref="AW51" si="36">COUNTIF(AW20:AW50,"&gt;0")</f>
        <v>0</v>
      </c>
      <c r="AX51">
        <f t="shared" ref="AX51:AY51" si="37">COUNTIF(AX20:AX50,"&gt;0")</f>
        <v>0</v>
      </c>
      <c r="AY51">
        <f t="shared" si="37"/>
        <v>0</v>
      </c>
      <c r="AZ51">
        <f t="shared" ref="AZ51" si="38">COUNTIF(AZ20:AZ50,"&gt;0")</f>
        <v>0</v>
      </c>
      <c r="BA51">
        <f t="shared" ref="BA51" si="39">COUNTIF(BA20:BA50,"&gt;0")</f>
        <v>0</v>
      </c>
      <c r="BB51">
        <f t="shared" ref="BB51" si="40">COUNTIF(BB20:BB50,"&gt;0")</f>
        <v>0</v>
      </c>
      <c r="BC51">
        <f t="shared" ref="BC51:BL51" si="41">COUNTIF(BC20:BC50,"&gt;0")</f>
        <v>0</v>
      </c>
      <c r="BD51">
        <f>COUNTIF(BD20:BD50,"&gt;0")</f>
        <v>0</v>
      </c>
      <c r="BE51">
        <f t="shared" si="41"/>
        <v>0</v>
      </c>
      <c r="BF51">
        <f t="shared" si="41"/>
        <v>0</v>
      </c>
      <c r="BG51">
        <f t="shared" si="41"/>
        <v>0</v>
      </c>
      <c r="BH51">
        <f t="shared" si="41"/>
        <v>0</v>
      </c>
      <c r="BI51">
        <f t="shared" si="41"/>
        <v>0</v>
      </c>
      <c r="BJ51">
        <f t="shared" si="41"/>
        <v>0</v>
      </c>
      <c r="BK51">
        <f t="shared" si="41"/>
        <v>0</v>
      </c>
      <c r="BL51">
        <f t="shared" si="41"/>
        <v>0</v>
      </c>
      <c r="BM51">
        <f t="shared" ref="BM51" si="42">COUNTIF(BM20:BM50,"&gt;0")</f>
        <v>0</v>
      </c>
      <c r="BN51" s="1">
        <f>SUM(BN20:BN50)</f>
        <v>0</v>
      </c>
      <c r="BO51" s="62"/>
      <c r="BP51" s="129">
        <f t="shared" ref="BP51:BT51" si="43">SUM(BP20:BP50)</f>
        <v>0</v>
      </c>
      <c r="BQ51" s="129">
        <f t="shared" si="43"/>
        <v>0</v>
      </c>
      <c r="BR51" s="129">
        <f t="shared" ref="BR51" si="44">SUM(BR20:BR50)</f>
        <v>0</v>
      </c>
      <c r="BS51" s="129">
        <f t="shared" si="43"/>
        <v>0</v>
      </c>
      <c r="BT51" s="129">
        <f t="shared" si="43"/>
        <v>0</v>
      </c>
      <c r="BU51">
        <f t="shared" ref="BU51" si="45">COUNTIF(BU20:BU50,"&gt;0")</f>
        <v>0</v>
      </c>
      <c r="BV51" s="129"/>
      <c r="BW51" s="129"/>
      <c r="BX51" s="129"/>
      <c r="BY51" s="129"/>
      <c r="BZ51" s="129"/>
      <c r="CA51">
        <f>COUNTIF(CA20:CA50,"&gt;0")</f>
        <v>0</v>
      </c>
      <c r="CB51">
        <f>COUNTIF(CB20:CB50,"&gt;0")</f>
        <v>0</v>
      </c>
      <c r="CC51">
        <f t="shared" ref="CC51:DD51" si="46">COUNTIF(CC20:CC50,"&gt;0")</f>
        <v>0</v>
      </c>
      <c r="CD51">
        <f t="shared" si="46"/>
        <v>0</v>
      </c>
      <c r="CE51">
        <f t="shared" si="46"/>
        <v>0</v>
      </c>
      <c r="CF51">
        <f t="shared" si="46"/>
        <v>0</v>
      </c>
      <c r="CG51">
        <f t="shared" si="46"/>
        <v>0</v>
      </c>
      <c r="CH51">
        <f t="shared" si="46"/>
        <v>0</v>
      </c>
      <c r="CI51">
        <f t="shared" si="46"/>
        <v>0</v>
      </c>
      <c r="CJ51">
        <f t="shared" si="46"/>
        <v>0</v>
      </c>
      <c r="CK51">
        <f t="shared" si="46"/>
        <v>0</v>
      </c>
      <c r="CL51">
        <f t="shared" si="46"/>
        <v>0</v>
      </c>
      <c r="CM51">
        <f t="shared" si="46"/>
        <v>0</v>
      </c>
      <c r="CN51">
        <f t="shared" si="46"/>
        <v>0</v>
      </c>
      <c r="CO51">
        <f t="shared" si="46"/>
        <v>0</v>
      </c>
      <c r="CP51">
        <f t="shared" si="46"/>
        <v>0</v>
      </c>
      <c r="CQ51">
        <f t="shared" si="46"/>
        <v>0</v>
      </c>
      <c r="CR51">
        <f t="shared" si="46"/>
        <v>0</v>
      </c>
      <c r="CS51">
        <f t="shared" si="46"/>
        <v>0</v>
      </c>
      <c r="CT51">
        <f t="shared" si="46"/>
        <v>0</v>
      </c>
      <c r="CU51">
        <f>COUNTIF(CU20:CU50,"&gt;0")</f>
        <v>0</v>
      </c>
      <c r="CV51">
        <f t="shared" si="46"/>
        <v>0</v>
      </c>
      <c r="CW51">
        <f t="shared" si="46"/>
        <v>0</v>
      </c>
      <c r="CX51">
        <f t="shared" si="46"/>
        <v>0</v>
      </c>
      <c r="CY51">
        <f t="shared" si="46"/>
        <v>0</v>
      </c>
      <c r="CZ51">
        <f t="shared" si="46"/>
        <v>0</v>
      </c>
      <c r="DA51">
        <f t="shared" si="46"/>
        <v>0</v>
      </c>
      <c r="DB51">
        <f t="shared" si="46"/>
        <v>0</v>
      </c>
      <c r="DC51">
        <f t="shared" si="46"/>
        <v>0</v>
      </c>
      <c r="DD51">
        <f t="shared" si="46"/>
        <v>0</v>
      </c>
      <c r="DE51" s="129">
        <f>SUM(DE20:DE50)</f>
        <v>0</v>
      </c>
      <c r="DJ51" t="str">
        <f t="shared" si="11"/>
        <v/>
      </c>
      <c r="DK51" t="str">
        <f t="shared" si="23"/>
        <v/>
      </c>
      <c r="DL51" t="str">
        <f t="shared" ref="DL51" si="47">DI51&amp;" "&amp;DJ51&amp;" "&amp;DK51</f>
        <v xml:space="preserve">  </v>
      </c>
    </row>
    <row r="52" spans="1:116" ht="17" thickBot="1">
      <c r="A52" s="128"/>
      <c r="B52" s="128"/>
      <c r="C52" s="128"/>
      <c r="D52" s="128"/>
      <c r="E52" s="128"/>
      <c r="F52" s="128"/>
      <c r="G52" s="128"/>
      <c r="H52" s="128"/>
      <c r="I52" s="128"/>
      <c r="J52" s="128"/>
      <c r="K52" s="130"/>
      <c r="L52" s="130"/>
      <c r="M52" s="130"/>
      <c r="N52" s="130"/>
      <c r="O52" s="130"/>
      <c r="P52" s="130"/>
      <c r="Q52" s="130"/>
      <c r="R52" s="130"/>
      <c r="S52" s="130"/>
      <c r="T52" s="130"/>
      <c r="U52" s="130"/>
      <c r="V52" s="130"/>
      <c r="W52" s="130"/>
      <c r="X52" s="130"/>
      <c r="Y52" s="130"/>
      <c r="Z52" s="257"/>
      <c r="AA52" s="137"/>
      <c r="AB52" s="115"/>
      <c r="AC52" s="129"/>
      <c r="AD52" s="115"/>
      <c r="AE52" s="115"/>
      <c r="AF52" s="129"/>
      <c r="AG52" s="129"/>
      <c r="AH52" s="129"/>
      <c r="AI52" s="129"/>
      <c r="AJ52" s="129"/>
      <c r="AK52" s="129"/>
      <c r="AL52" s="129"/>
      <c r="AM52" s="129"/>
      <c r="AN52" s="129"/>
      <c r="AO52" s="129"/>
      <c r="BR52" s="257"/>
      <c r="BS52" s="137"/>
      <c r="BT52" s="137"/>
      <c r="BU52" s="129"/>
      <c r="BV52" s="115"/>
      <c r="BW52" s="129"/>
      <c r="BX52" s="129"/>
      <c r="BY52" s="129"/>
      <c r="BZ52" s="129"/>
      <c r="CA52" s="34">
        <f>IF(OR(CA20&gt;0.1,AJ20&gt;0),1,0)+IF(OR(CA21&gt;0.1,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IF(OR(CA46&gt;0,AJ46&gt;0),1,0)+IF(OR(CA47&gt;0,AJ47&gt;0),1,0)+IF(OR(CA48&gt;0,AJ48&gt;0),1,0)+IF(OR(CA49&gt;0,AJ49&gt;0),1,0)+IF(OR(CA50&gt;0,AJ50&gt;0),1,0)</f>
        <v>0</v>
      </c>
      <c r="CB52" s="34">
        <f t="shared" ref="CB52:DD52" si="48">IF(OR(CB20&gt;0.1,AK20&gt;0),1,0)+IF(OR(CB21&gt;0.1,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IF(OR(CB46&gt;0,AK46&gt;0),1,0)+IF(OR(CB47&gt;0,AK47&gt;0),1,0)+IF(OR(CB48&gt;0,AK48&gt;0),1,0)+IF(OR(CB49&gt;0,AK49&gt;0),1,0)+IF(OR(CB50&gt;0,AK50&gt;0),1,0)</f>
        <v>0</v>
      </c>
      <c r="CC52" s="34">
        <f t="shared" si="48"/>
        <v>0</v>
      </c>
      <c r="CD52" s="34">
        <f t="shared" si="48"/>
        <v>0</v>
      </c>
      <c r="CE52" s="34">
        <f t="shared" si="48"/>
        <v>0</v>
      </c>
      <c r="CF52" s="34">
        <f t="shared" si="48"/>
        <v>0</v>
      </c>
      <c r="CG52" s="34">
        <f t="shared" si="48"/>
        <v>0</v>
      </c>
      <c r="CH52" s="34">
        <f t="shared" si="48"/>
        <v>0</v>
      </c>
      <c r="CI52" s="34">
        <f t="shared" si="48"/>
        <v>0</v>
      </c>
      <c r="CJ52" s="34">
        <f t="shared" si="48"/>
        <v>0</v>
      </c>
      <c r="CK52" s="34">
        <f t="shared" si="48"/>
        <v>0</v>
      </c>
      <c r="CL52" s="34">
        <f t="shared" si="48"/>
        <v>0</v>
      </c>
      <c r="CM52" s="34">
        <f t="shared" si="48"/>
        <v>0</v>
      </c>
      <c r="CN52" s="34">
        <f t="shared" si="48"/>
        <v>0</v>
      </c>
      <c r="CO52" s="34">
        <f t="shared" si="48"/>
        <v>0</v>
      </c>
      <c r="CP52" s="34">
        <f t="shared" si="48"/>
        <v>0</v>
      </c>
      <c r="CQ52" s="34">
        <f t="shared" si="48"/>
        <v>0</v>
      </c>
      <c r="CR52" s="34">
        <f t="shared" si="48"/>
        <v>0</v>
      </c>
      <c r="CS52" s="34">
        <f t="shared" si="48"/>
        <v>0</v>
      </c>
      <c r="CT52" s="34">
        <f t="shared" si="48"/>
        <v>0</v>
      </c>
      <c r="CU52" s="34">
        <f t="shared" si="48"/>
        <v>0</v>
      </c>
      <c r="CV52" s="34">
        <f t="shared" si="48"/>
        <v>0</v>
      </c>
      <c r="CW52" s="34">
        <f t="shared" si="48"/>
        <v>0</v>
      </c>
      <c r="CX52" s="34">
        <f t="shared" si="48"/>
        <v>0</v>
      </c>
      <c r="CY52" s="34">
        <f t="shared" si="48"/>
        <v>0</v>
      </c>
      <c r="CZ52" s="34">
        <f t="shared" si="48"/>
        <v>0</v>
      </c>
      <c r="DA52" s="34">
        <f t="shared" si="48"/>
        <v>0</v>
      </c>
      <c r="DB52" s="34">
        <f t="shared" si="48"/>
        <v>0</v>
      </c>
      <c r="DC52" s="34">
        <f t="shared" si="48"/>
        <v>0</v>
      </c>
      <c r="DD52" s="34">
        <f t="shared" si="48"/>
        <v>0</v>
      </c>
    </row>
    <row r="53" spans="1:116" ht="70" customHeight="1">
      <c r="A53" s="873" t="str">
        <f>"Arbejdstid for "&amp;A18&amp;" måned:"</f>
        <v>Arbejdstid for August måned:</v>
      </c>
      <c r="B53" s="874"/>
      <c r="C53" s="874"/>
      <c r="D53" s="874"/>
      <c r="E53" s="874"/>
      <c r="F53" s="874"/>
      <c r="G53" s="874"/>
      <c r="H53" s="201" t="s">
        <v>126</v>
      </c>
      <c r="I53" s="923" t="s">
        <v>115</v>
      </c>
      <c r="J53" s="924"/>
      <c r="K53" s="150"/>
      <c r="L53" s="915" t="s">
        <v>187</v>
      </c>
      <c r="M53" s="916"/>
      <c r="N53" s="916"/>
      <c r="O53" s="916"/>
      <c r="P53" s="916"/>
      <c r="Q53" s="916"/>
      <c r="R53" s="916"/>
      <c r="S53" s="917"/>
      <c r="T53" s="598" t="s">
        <v>361</v>
      </c>
      <c r="U53" s="373" t="s">
        <v>257</v>
      </c>
      <c r="V53" s="303"/>
      <c r="W53" s="117"/>
      <c r="X53" s="130"/>
      <c r="Y53" s="130"/>
      <c r="Z53" s="130"/>
      <c r="AA53"/>
      <c r="AB53"/>
      <c r="AK53" s="56"/>
      <c r="AL53" s="56"/>
      <c r="BO53" s="117"/>
      <c r="BP53" s="117"/>
      <c r="BQ53" s="130"/>
      <c r="BR53" s="130"/>
      <c r="BS53"/>
      <c r="BT53"/>
      <c r="CB53" s="56"/>
      <c r="CC53" s="56"/>
    </row>
    <row r="54" spans="1:116" ht="24" customHeight="1">
      <c r="A54" s="875" t="s">
        <v>270</v>
      </c>
      <c r="B54" s="876"/>
      <c r="C54" s="876"/>
      <c r="D54" s="876"/>
      <c r="E54" s="876"/>
      <c r="F54" s="876"/>
      <c r="G54" s="876"/>
      <c r="H54" s="145">
        <f>D88-D86-A98-D85</f>
        <v>21</v>
      </c>
      <c r="I54" s="852">
        <f>J69</f>
        <v>0</v>
      </c>
      <c r="J54" s="853"/>
      <c r="K54" s="147"/>
      <c r="L54" s="918"/>
      <c r="M54" s="919"/>
      <c r="N54" s="919"/>
      <c r="O54" s="919"/>
      <c r="P54" s="919"/>
      <c r="Q54" s="919"/>
      <c r="R54" s="919"/>
      <c r="S54" s="920"/>
      <c r="T54" s="354"/>
      <c r="U54" s="370"/>
      <c r="V54" s="303"/>
      <c r="W54" s="130"/>
      <c r="X54" s="130"/>
      <c r="Y54" s="130"/>
      <c r="Z54" s="130"/>
      <c r="AA54"/>
      <c r="AB54"/>
      <c r="AK54" s="56"/>
      <c r="AL54" s="56"/>
      <c r="BO54" s="130"/>
      <c r="BP54" s="130"/>
      <c r="BQ54" s="130"/>
      <c r="BR54" s="130"/>
      <c r="BS54"/>
      <c r="BT54"/>
      <c r="CB54" s="56"/>
      <c r="CC54" s="56"/>
    </row>
    <row r="55" spans="1:116" ht="31" customHeight="1">
      <c r="A55" s="875" t="str">
        <f>"Ferie "&amp;A18&amp;" måned"</f>
        <v>Ferie August måned</v>
      </c>
      <c r="B55" s="876"/>
      <c r="C55" s="876"/>
      <c r="D55" s="876"/>
      <c r="E55" s="876"/>
      <c r="F55" s="876"/>
      <c r="G55" s="876"/>
      <c r="H55" s="146" t="str">
        <f>IF(D82&gt;0,$D$82,"0")</f>
        <v>0</v>
      </c>
      <c r="I55" s="961">
        <f>H55*7.4*Stamoplysninger!E21</f>
        <v>0</v>
      </c>
      <c r="J55" s="962"/>
      <c r="K55" s="147"/>
      <c r="L55" s="948" t="s">
        <v>363</v>
      </c>
      <c r="M55" s="949"/>
      <c r="N55" s="949"/>
      <c r="O55" s="949"/>
      <c r="P55" s="949"/>
      <c r="Q55" s="949"/>
      <c r="R55" s="949"/>
      <c r="S55" s="949"/>
      <c r="T55" s="949"/>
      <c r="U55" s="950"/>
      <c r="V55" s="303"/>
      <c r="W55" s="130"/>
      <c r="X55" s="130"/>
      <c r="Y55" s="130"/>
      <c r="Z55" s="130"/>
      <c r="AA55"/>
      <c r="AB55"/>
      <c r="AK55" s="56"/>
      <c r="AL55" s="56"/>
      <c r="BO55" s="130"/>
      <c r="BP55" s="130"/>
      <c r="BQ55" s="130"/>
      <c r="BR55" s="130"/>
      <c r="BS55"/>
      <c r="BT55"/>
      <c r="CB55" s="56"/>
      <c r="CC55" s="56"/>
    </row>
    <row r="56" spans="1:116" ht="29" customHeight="1">
      <c r="A56" s="875" t="str">
        <f>"Søgnehelligdage i "&amp;A18&amp;" måned"</f>
        <v>Søgnehelligdage i August måned</v>
      </c>
      <c r="B56" s="876"/>
      <c r="C56" s="876"/>
      <c r="D56" s="876"/>
      <c r="E56" s="876"/>
      <c r="F56" s="876"/>
      <c r="G56" s="876"/>
      <c r="H56" s="146">
        <f>IF(D87&gt;0,D87,0)</f>
        <v>0</v>
      </c>
      <c r="I56" s="961">
        <f>H56*7.4*Stamoplysninger!E21</f>
        <v>0</v>
      </c>
      <c r="J56" s="962"/>
      <c r="K56" s="225"/>
      <c r="L56" s="375" t="s">
        <v>362</v>
      </c>
      <c r="M56" s="376" t="s">
        <v>201</v>
      </c>
      <c r="N56" s="954" t="s">
        <v>277</v>
      </c>
      <c r="O56" s="949"/>
      <c r="P56" s="949"/>
      <c r="Q56" s="949"/>
      <c r="R56" s="949"/>
      <c r="S56" s="955"/>
      <c r="T56" s="921" t="s">
        <v>188</v>
      </c>
      <c r="U56" s="922"/>
      <c r="V56" s="303"/>
      <c r="W56" s="130"/>
      <c r="X56" s="130"/>
      <c r="Y56" s="130"/>
      <c r="Z56" s="130"/>
      <c r="AA56"/>
      <c r="AB56"/>
      <c r="AK56" s="56"/>
      <c r="AL56" s="56"/>
      <c r="BO56" s="130"/>
      <c r="BP56" s="130"/>
      <c r="BQ56" s="130"/>
      <c r="BR56" s="130"/>
      <c r="BS56"/>
      <c r="BT56"/>
      <c r="CB56" s="56"/>
      <c r="CC56" s="56"/>
    </row>
    <row r="57" spans="1:116" ht="24" customHeight="1">
      <c r="A57" s="875" t="str">
        <f>"Nettoarbejdstid ialt i "&amp;A18&amp;" måned"</f>
        <v>Nettoarbejdstid ialt i August måned</v>
      </c>
      <c r="B57" s="876"/>
      <c r="C57" s="876"/>
      <c r="D57" s="876"/>
      <c r="E57" s="876"/>
      <c r="F57" s="876"/>
      <c r="G57" s="876"/>
      <c r="H57" s="148">
        <f>H54-H55-H56</f>
        <v>21</v>
      </c>
      <c r="I57" s="961">
        <f>IF(Stamoplysninger!$E$18="Ikke omfattet af overenskomst - ansat med en fast årsnorm",Stamoplysninger!$E$20/228*H57*Stamoplysninger!$E$21,I54-I55-I56)</f>
        <v>0</v>
      </c>
      <c r="J57" s="962"/>
      <c r="K57" s="225"/>
      <c r="L57" s="372"/>
      <c r="M57" s="304"/>
      <c r="N57" s="956"/>
      <c r="O57" s="957"/>
      <c r="P57" s="957"/>
      <c r="Q57" s="957"/>
      <c r="R57" s="957"/>
      <c r="S57" s="958"/>
      <c r="T57" s="353"/>
      <c r="U57" s="371"/>
      <c r="V57" s="303"/>
      <c r="W57" s="130"/>
      <c r="X57" s="130"/>
      <c r="Y57" s="130"/>
      <c r="Z57" s="130"/>
      <c r="AA57"/>
      <c r="AB57"/>
      <c r="AK57" s="56"/>
      <c r="AL57" s="56"/>
      <c r="BO57" s="130"/>
      <c r="BP57" s="130"/>
      <c r="BQ57" s="130"/>
      <c r="BR57" s="130"/>
      <c r="BS57"/>
      <c r="BT57"/>
      <c r="CB57" s="56"/>
      <c r="CC57" s="56"/>
    </row>
    <row r="58" spans="1:116" ht="24" customHeight="1">
      <c r="A58" s="881" t="str">
        <f>"Planlagt arbejdstid efter ovennstående "&amp;A18&amp;" måned kalender"</f>
        <v>Planlagt arbejdstid efter ovennstående August måned kalender</v>
      </c>
      <c r="B58" s="882"/>
      <c r="C58" s="882"/>
      <c r="D58" s="882"/>
      <c r="E58" s="882"/>
      <c r="F58" s="882"/>
      <c r="G58" s="882"/>
      <c r="H58" s="281">
        <f>D65+D66+D67+D68+D71+D72+D79+D73+D74+D75+D76+D77+D78+D80+D81+D69+D70</f>
        <v>21</v>
      </c>
      <c r="I58" s="940">
        <f>K51+L51+M51-J64</f>
        <v>0</v>
      </c>
      <c r="J58" s="941"/>
      <c r="K58" s="225"/>
      <c r="L58" s="372"/>
      <c r="M58" s="304"/>
      <c r="N58" s="956"/>
      <c r="O58" s="957"/>
      <c r="P58" s="957"/>
      <c r="Q58" s="957"/>
      <c r="R58" s="957"/>
      <c r="S58" s="958"/>
      <c r="T58" s="353"/>
      <c r="U58" s="371"/>
      <c r="V58" s="303"/>
      <c r="W58" s="130"/>
      <c r="X58" s="130"/>
      <c r="Y58" s="130"/>
      <c r="Z58" s="130"/>
      <c r="AA58"/>
      <c r="AB58"/>
      <c r="AK58" s="56"/>
      <c r="AL58" s="56"/>
      <c r="BO58" s="130"/>
      <c r="BP58" s="130"/>
      <c r="BQ58" s="130"/>
      <c r="BR58" s="130"/>
      <c r="BS58"/>
      <c r="BT58"/>
      <c r="CB58" s="56"/>
      <c r="CC58" s="56"/>
    </row>
    <row r="59" spans="1:116" ht="24" customHeight="1">
      <c r="A59" s="883" t="str">
        <f>"Arbejde særligt planlagt for "&amp;A18&amp;" måned efter fanen normale uger"</f>
        <v>Arbejde særligt planlagt for August måned efter fanen normale uger</v>
      </c>
      <c r="B59" s="884"/>
      <c r="C59" s="884"/>
      <c r="D59" s="884"/>
      <c r="E59" s="884"/>
      <c r="F59" s="884"/>
      <c r="G59" s="884"/>
      <c r="H59" s="885"/>
      <c r="I59" s="942">
        <f>IF(I58=0,0,'Normal uger'!L98)</f>
        <v>0</v>
      </c>
      <c r="J59" s="943"/>
      <c r="K59" s="226"/>
      <c r="L59" s="372"/>
      <c r="M59" s="304"/>
      <c r="N59" s="956"/>
      <c r="O59" s="957"/>
      <c r="P59" s="957"/>
      <c r="Q59" s="957"/>
      <c r="R59" s="957"/>
      <c r="S59" s="958"/>
      <c r="T59" s="353"/>
      <c r="U59" s="371"/>
      <c r="V59" s="303"/>
      <c r="W59" s="130"/>
      <c r="X59" s="130"/>
      <c r="Y59" s="130"/>
      <c r="Z59" s="130"/>
      <c r="AA59"/>
      <c r="AB59"/>
      <c r="AK59" s="56"/>
      <c r="AL59" s="56"/>
      <c r="BO59" s="130"/>
      <c r="BP59" s="130"/>
      <c r="BQ59" s="130"/>
      <c r="BR59" s="130"/>
      <c r="BS59"/>
      <c r="BT59"/>
      <c r="CB59" s="56"/>
      <c r="CC59" s="56"/>
    </row>
    <row r="60" spans="1:116" ht="24" customHeight="1">
      <c r="A60" s="413" t="s">
        <v>273</v>
      </c>
      <c r="B60" s="414"/>
      <c r="C60" s="414"/>
      <c r="D60" s="414"/>
      <c r="E60" s="414"/>
      <c r="F60" s="414"/>
      <c r="G60" s="414"/>
      <c r="H60" s="415"/>
      <c r="I60" s="959" t="e">
        <f>IF(Arbejdstidsoversigt!$H$54="Puljetimer registreres i månedskalendere",O51-L64,SUM(Arbejdstidsoversigt!J34:J52)/Arbejdstidsoversigt!G20*August!H57)</f>
        <v>#DIV/0!</v>
      </c>
      <c r="J60" s="960"/>
      <c r="K60" s="226"/>
      <c r="L60" s="372"/>
      <c r="M60" s="304"/>
      <c r="N60" s="956"/>
      <c r="O60" s="957"/>
      <c r="P60" s="957"/>
      <c r="Q60" s="957"/>
      <c r="R60" s="957"/>
      <c r="S60" s="958"/>
      <c r="T60" s="353"/>
      <c r="U60" s="371"/>
      <c r="V60" s="303"/>
      <c r="W60" s="130"/>
      <c r="X60" s="130"/>
      <c r="Y60" s="130"/>
      <c r="Z60" s="130"/>
      <c r="AA60"/>
      <c r="AB60"/>
      <c r="AK60" s="56"/>
      <c r="AL60" s="56"/>
      <c r="BO60" s="130"/>
      <c r="BP60" s="130"/>
      <c r="BQ60" s="130"/>
      <c r="BR60" s="130"/>
      <c r="BS60"/>
      <c r="BT60"/>
      <c r="CB60" s="56"/>
      <c r="CC60" s="56"/>
    </row>
    <row r="61" spans="1:116" ht="24" customHeight="1">
      <c r="A61" s="877" t="s">
        <v>248</v>
      </c>
      <c r="B61" s="878"/>
      <c r="C61" s="878"/>
      <c r="D61" s="878"/>
      <c r="E61" s="878"/>
      <c r="F61" s="878"/>
      <c r="G61" s="878"/>
      <c r="H61" s="878"/>
      <c r="I61" s="944">
        <f>S51+U51+T51-P64-Q64-R64</f>
        <v>0</v>
      </c>
      <c r="J61" s="945"/>
      <c r="K61" s="227"/>
      <c r="L61" s="372"/>
      <c r="M61" s="304"/>
      <c r="N61" s="956"/>
      <c r="O61" s="957"/>
      <c r="P61" s="957"/>
      <c r="Q61" s="957"/>
      <c r="R61" s="957"/>
      <c r="S61" s="958"/>
      <c r="T61" s="353"/>
      <c r="U61" s="371"/>
      <c r="V61" s="303"/>
      <c r="W61" s="137"/>
      <c r="X61" s="130"/>
      <c r="Z61" s="130"/>
      <c r="AA61" s="130"/>
      <c r="AB61"/>
      <c r="AM61" s="56"/>
      <c r="AN61" s="56"/>
      <c r="BO61" s="137"/>
      <c r="BP61" s="137"/>
      <c r="BR61" s="130"/>
      <c r="BS61"/>
      <c r="BT61"/>
      <c r="CD61" s="56"/>
      <c r="CE61" s="56"/>
    </row>
    <row r="62" spans="1:116" ht="27" customHeight="1" thickBot="1">
      <c r="A62" s="149" t="str">
        <f>"Faktisk arbejdstid ialt i "&amp;A18&amp;" måned"</f>
        <v>Faktisk arbejdstid ialt i August måned</v>
      </c>
      <c r="B62" s="188"/>
      <c r="C62" s="189"/>
      <c r="D62" s="189"/>
      <c r="E62" s="189"/>
      <c r="F62" s="189"/>
      <c r="G62" s="189"/>
      <c r="H62" s="190"/>
      <c r="I62" s="946" t="e">
        <f>SUM(I58:J61)</f>
        <v>#DIV/0!</v>
      </c>
      <c r="J62" s="947"/>
      <c r="K62" s="131"/>
      <c r="L62" s="951" t="s">
        <v>189</v>
      </c>
      <c r="M62" s="952"/>
      <c r="N62" s="952"/>
      <c r="O62" s="952"/>
      <c r="P62" s="952"/>
      <c r="Q62" s="952"/>
      <c r="R62" s="952"/>
      <c r="S62" s="953"/>
      <c r="T62" s="387">
        <f>T54-SUM(T57:T61)</f>
        <v>0</v>
      </c>
      <c r="U62" s="374">
        <f>U54-SUM(U57:U61)</f>
        <v>0</v>
      </c>
      <c r="V62" s="303"/>
      <c r="W62" s="137"/>
      <c r="X62" s="130"/>
      <c r="Z62" s="130"/>
      <c r="AA62" s="130"/>
      <c r="AB62"/>
      <c r="AL62" s="56"/>
      <c r="AM62" s="56"/>
      <c r="BO62" s="137"/>
      <c r="BP62" s="137"/>
      <c r="BR62" s="130"/>
      <c r="BS62"/>
      <c r="BT62"/>
      <c r="CC62" s="56"/>
      <c r="CD62" s="56"/>
    </row>
    <row r="63" spans="1:116" hidden="1">
      <c r="A63" s="144"/>
      <c r="B63" s="144"/>
      <c r="C63" s="144"/>
      <c r="D63" s="144"/>
      <c r="E63" s="144"/>
      <c r="F63" s="144"/>
      <c r="G63" s="144"/>
      <c r="H63" s="144"/>
      <c r="I63" s="302"/>
      <c r="J63" s="302"/>
      <c r="K63" s="302"/>
      <c r="L63" s="290"/>
      <c r="M63" s="252"/>
      <c r="N63" s="252"/>
      <c r="O63" s="252"/>
      <c r="P63" s="252"/>
      <c r="Q63" s="252"/>
      <c r="R63" s="205"/>
      <c r="S63" s="253"/>
      <c r="T63" s="126"/>
      <c r="U63" s="126"/>
      <c r="V63" s="126"/>
      <c r="W63" s="126"/>
      <c r="X63" s="126"/>
      <c r="Y63" s="63"/>
      <c r="Z63" s="63"/>
      <c r="AA63" s="130"/>
      <c r="AB63" s="130"/>
      <c r="AC63" s="130"/>
      <c r="AD63" s="130"/>
      <c r="AE63" s="118"/>
      <c r="AF63" s="137"/>
      <c r="AG63" s="137"/>
      <c r="AH63" s="137"/>
      <c r="AI63" s="137"/>
      <c r="AJ63" s="137"/>
      <c r="AK63" s="137"/>
      <c r="AL63" s="137"/>
      <c r="AM63" s="137"/>
      <c r="AN63" s="137"/>
      <c r="AO63" s="137"/>
      <c r="AP63" s="130"/>
      <c r="AR63" s="130"/>
      <c r="AS63" s="130"/>
      <c r="AW63" s="56"/>
      <c r="AX63" s="56"/>
      <c r="BG63" s="56"/>
      <c r="BH63" s="56"/>
      <c r="BS63" s="130"/>
      <c r="BT63" s="130"/>
      <c r="BU63" s="130"/>
      <c r="BV63" s="130"/>
      <c r="BW63" s="137"/>
      <c r="BX63" s="137"/>
      <c r="BY63" s="137"/>
      <c r="BZ63" s="137"/>
      <c r="CA63" s="137"/>
      <c r="CB63" s="137"/>
      <c r="CC63" s="137"/>
      <c r="CD63" s="137"/>
      <c r="CE63" s="137"/>
      <c r="CF63" s="137"/>
      <c r="CG63" s="130"/>
      <c r="CI63" s="130"/>
      <c r="CJ63" s="130"/>
      <c r="CN63" s="56"/>
      <c r="CO63" s="56"/>
      <c r="CX63" s="56"/>
      <c r="CY63" s="56"/>
      <c r="DH63" s="138"/>
      <c r="DI63" s="138"/>
    </row>
    <row r="64" spans="1:116" hidden="1">
      <c r="A64" s="286"/>
      <c r="B64" s="286"/>
      <c r="C64" s="286"/>
      <c r="D64" s="286"/>
      <c r="E64" s="286"/>
      <c r="F64" s="286"/>
      <c r="G64" s="286"/>
      <c r="H64" s="287"/>
      <c r="I64" s="291" t="s">
        <v>360</v>
      </c>
      <c r="J64" s="289">
        <f>IF(C50="Ikke relevant",M50,0)+IF(C20="Ikke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relevant",M45,0)+IF(C46="Ikke relevant",M46,0)+IF(C47="Ikke relevant",M47,0)+IF(C48="Ikke relevant",M48,0)+IF(C49="Ikke relevant",M49,0)</f>
        <v>0</v>
      </c>
      <c r="K64" s="289" t="s">
        <v>271</v>
      </c>
      <c r="L64" s="289">
        <f>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relevant",O45,0)+IF($C$46="Ikke relevant",O46,0)+IF($C$47="Ikke relevant",O47,0)+IF($C$48="Ikke relevant",O48,0)+IF($C$49="Ikke relevant",O49,0)+IF($C$50="Ikke relevant",O50,0)</f>
        <v>0</v>
      </c>
      <c r="M64" s="279"/>
      <c r="N64" s="279"/>
      <c r="O64" s="279"/>
      <c r="P64" s="289">
        <f>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relevant",S45,0)+IF($C$46="Ikke relevant",S46,0)+IF($C$47="Ikke relevant",S47,0)+IF($C$48="Ikke relevant",S48,0)+IF($C$49="Ikke relevant",S49,0)+IF($C$50="Ikke relevant",S50,0)</f>
        <v>0</v>
      </c>
      <c r="Q64" s="289">
        <f t="shared" ref="Q64" si="49">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relevant",T45,0)+IF($C$46="Ikke relevant",T46,0)+IF($C$47="Ikke relevant",T47,0)+IF($C$48="Ikke relevant",T48,0)+IF($C$49="Ikke relevant",T49,0)+IF($C$50="Ikke relevant",T50,0)</f>
        <v>0</v>
      </c>
      <c r="R64" s="289">
        <f>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relevant",U45,0)+IF($C$46="Ikke relevant",U46,0)+IF($C$47="Ikke relevant",U47,0)+IF($C$48="Ikke relevant",U48,0)+IF($C$49="Ikke relevant",U49,0)+IF($C$50="Ikke relevant",U50,0)</f>
        <v>0</v>
      </c>
      <c r="AA64" s="130"/>
      <c r="AB64" s="130"/>
      <c r="AC64" s="130"/>
      <c r="AD64" s="130"/>
      <c r="AE64" s="118"/>
      <c r="AF64" s="137"/>
      <c r="AG64" s="137"/>
      <c r="AH64" s="137"/>
      <c r="AI64" s="137"/>
      <c r="AJ64" s="137"/>
      <c r="AK64" s="137"/>
      <c r="AL64" s="137"/>
      <c r="AM64" s="137"/>
      <c r="AN64" s="137"/>
      <c r="AO64" s="137"/>
      <c r="AP64" s="130"/>
      <c r="AR64" s="130"/>
      <c r="AS64" s="130"/>
      <c r="AW64" s="56"/>
      <c r="AX64" s="56"/>
      <c r="BG64" s="56"/>
      <c r="BH64" s="56"/>
      <c r="BR64" s="303"/>
      <c r="BS64" s="130"/>
      <c r="BT64" s="130"/>
      <c r="BU64" s="130"/>
      <c r="BV64" s="130"/>
      <c r="BW64" s="137"/>
      <c r="BX64" s="137"/>
      <c r="BY64" s="137"/>
      <c r="BZ64" s="137"/>
      <c r="CA64" s="137"/>
      <c r="CB64" s="137"/>
      <c r="CC64" s="137"/>
      <c r="CD64" s="137"/>
      <c r="CE64" s="137"/>
      <c r="CF64" s="137"/>
      <c r="CG64" s="130"/>
      <c r="CI64" s="130"/>
      <c r="CJ64" s="130"/>
      <c r="CN64" s="56"/>
      <c r="CO64" s="56"/>
      <c r="CX64" s="56"/>
      <c r="CY64" s="56"/>
      <c r="DH64" s="138"/>
      <c r="DI64" s="138"/>
    </row>
    <row r="65" spans="1:114" hidden="1">
      <c r="A65" s="432" t="s">
        <v>217</v>
      </c>
      <c r="B65" s="432"/>
      <c r="C65" s="432"/>
      <c r="D65" s="432">
        <f>COUNTIF([0]!AUGUST,"Normal uge 1")</f>
        <v>21</v>
      </c>
      <c r="E65" s="296"/>
      <c r="F65" s="295"/>
      <c r="G65" s="295" t="s">
        <v>489</v>
      </c>
      <c r="H65" s="852">
        <f>IF(AND(Stamoplysninger!$E$18="BUPL/FOA",Stamoplysninger!$E$19="Ja"),1924/Arbejdstidsoversigt!$K$13*Stamoplysninger!$E$21*$H$54,August!$H$54*7.4*Stamoplysninger!$E$21)</f>
        <v>0</v>
      </c>
      <c r="I65" s="853"/>
      <c r="J65" s="289">
        <f>IF(Stamoplysninger!$E$18="BUPL/FOA",August!H65,0)</f>
        <v>0</v>
      </c>
      <c r="K65" s="289"/>
      <c r="L65" s="291"/>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D65" s="130"/>
      <c r="BH65" s="56"/>
      <c r="BI65" s="56"/>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880" t="s">
        <v>204</v>
      </c>
      <c r="B66" s="880"/>
      <c r="C66" s="880"/>
      <c r="D66" s="433">
        <f>COUNTIF([0]!AUGUST,"Normal uge 2")</f>
        <v>0</v>
      </c>
      <c r="E66" s="296"/>
      <c r="F66" s="295"/>
      <c r="G66" s="295" t="s">
        <v>212</v>
      </c>
      <c r="H66" s="852">
        <f>IF(AND(Stamoplysninger!$E$18="HK",Stamoplysninger!$E$19="Ja"),1924/Arbejdstidsoversigt!$K$13*Stamoplysninger!$E$21*$H$54,August!$H$54*7.4*Stamoplysninger!$E$21)</f>
        <v>0</v>
      </c>
      <c r="I66" s="853"/>
      <c r="J66" s="289">
        <f>IF(Stamoplysninger!$E$18="HK",August!H66,0)</f>
        <v>0</v>
      </c>
      <c r="K66" s="291"/>
      <c r="L66" s="292"/>
      <c r="M66" s="280"/>
      <c r="N66" s="280"/>
      <c r="O66" s="280"/>
      <c r="P66" s="280"/>
      <c r="AA66" s="130"/>
      <c r="AB66" s="130"/>
      <c r="AC66" s="130"/>
      <c r="AD66" s="130"/>
      <c r="AE66" s="130"/>
      <c r="AF66" s="118"/>
      <c r="AG66" s="118"/>
      <c r="AH66" s="118"/>
      <c r="AI66" s="118"/>
      <c r="AJ66" s="118"/>
      <c r="AK66" s="118"/>
      <c r="AL66" s="118"/>
      <c r="AM66" s="137"/>
      <c r="AN66" s="137"/>
      <c r="AO66" s="137"/>
      <c r="AP66" s="137"/>
      <c r="AQ66" s="130"/>
      <c r="AS66" s="130"/>
      <c r="AT66" s="130"/>
      <c r="AX66" s="56"/>
      <c r="AY66" s="56"/>
      <c r="BD66" s="130"/>
      <c r="BH66" s="56"/>
      <c r="BI66" s="56"/>
      <c r="BR66" s="63"/>
      <c r="BS66" s="130"/>
      <c r="BT66" s="130"/>
      <c r="BU66" s="130"/>
      <c r="BV66" s="130"/>
      <c r="BW66" s="118"/>
      <c r="BX66" s="118"/>
      <c r="BY66" s="118"/>
      <c r="BZ66" s="118"/>
      <c r="CA66" s="118"/>
      <c r="CB66" s="118"/>
      <c r="CC66" s="118"/>
      <c r="CD66" s="137"/>
      <c r="CE66" s="137"/>
      <c r="CF66" s="137"/>
      <c r="CG66" s="137"/>
      <c r="CH66" s="130"/>
      <c r="CJ66" s="130"/>
      <c r="CK66" s="130"/>
      <c r="CO66" s="56"/>
      <c r="CP66" s="56"/>
      <c r="CU66" s="130"/>
      <c r="CY66" s="56"/>
      <c r="CZ66" s="56"/>
      <c r="DG66" s="1"/>
      <c r="DI66" s="138"/>
      <c r="DJ66" s="138"/>
    </row>
    <row r="67" spans="1:114" hidden="1">
      <c r="A67" s="879" t="s">
        <v>205</v>
      </c>
      <c r="B67" s="879"/>
      <c r="C67" s="879"/>
      <c r="D67" s="435">
        <f>COUNTIF([0]!AUGUST,"Normal uge 3")</f>
        <v>0</v>
      </c>
      <c r="E67" s="296"/>
      <c r="F67" s="295"/>
      <c r="G67" s="295" t="s">
        <v>213</v>
      </c>
      <c r="H67" s="288">
        <f>IF(Stamoplysninger!$E$18="3F",7.4*Stamoplysninger!$E$21*August!$H$54,0)</f>
        <v>0</v>
      </c>
      <c r="I67" s="288"/>
      <c r="J67" s="289">
        <f>IF(Stamoplysninger!$E$18="3f",August!H67,0)</f>
        <v>0</v>
      </c>
      <c r="K67" s="291"/>
      <c r="L67" s="292"/>
      <c r="M67" s="280"/>
      <c r="N67" s="280"/>
      <c r="O67" s="280"/>
      <c r="P67" s="280"/>
      <c r="AA67" s="130"/>
      <c r="AB67" s="130"/>
      <c r="AC67" s="130"/>
      <c r="AD67" s="130"/>
      <c r="AE67" s="130"/>
      <c r="AF67" s="118"/>
      <c r="AG67" s="118"/>
      <c r="AH67" s="118"/>
      <c r="AI67" s="118"/>
      <c r="AJ67" s="118"/>
      <c r="AK67" s="118"/>
      <c r="AL67" s="118"/>
      <c r="AM67" s="137"/>
      <c r="AN67" s="137"/>
      <c r="AO67" s="137"/>
      <c r="AP67" s="137"/>
      <c r="AQ67" s="130"/>
      <c r="AS67" s="130"/>
      <c r="AT67" s="130"/>
      <c r="AX67" s="56"/>
      <c r="AY67" s="56"/>
      <c r="BD67" s="130"/>
      <c r="BH67" s="56"/>
      <c r="BI67" s="56"/>
      <c r="BR67" s="63"/>
      <c r="BS67" s="130"/>
      <c r="BT67" s="130"/>
      <c r="BU67" s="130"/>
      <c r="BV67" s="130"/>
      <c r="BW67" s="118"/>
      <c r="BX67" s="118"/>
      <c r="BY67" s="118"/>
      <c r="BZ67" s="118"/>
      <c r="CA67" s="118"/>
      <c r="CB67" s="118"/>
      <c r="CC67" s="118"/>
      <c r="CD67" s="137"/>
      <c r="CE67" s="137"/>
      <c r="CF67" s="137"/>
      <c r="CG67" s="137"/>
      <c r="CH67" s="130"/>
      <c r="CJ67" s="130"/>
      <c r="CK67" s="130"/>
      <c r="CO67" s="56"/>
      <c r="CP67" s="56"/>
      <c r="CU67" s="130"/>
      <c r="CY67" s="56"/>
      <c r="CZ67" s="56"/>
      <c r="DG67" s="1"/>
      <c r="DI67" s="138"/>
      <c r="DJ67" s="138"/>
    </row>
    <row r="68" spans="1:114" hidden="1">
      <c r="A68" s="872" t="s">
        <v>206</v>
      </c>
      <c r="B68" s="872"/>
      <c r="C68" s="872"/>
      <c r="D68" s="434">
        <f>COUNTIF([0]!AUGUST,"Normal uge 4")</f>
        <v>0</v>
      </c>
      <c r="E68" s="296"/>
      <c r="F68" s="295"/>
      <c r="G68" s="295" t="s">
        <v>498</v>
      </c>
      <c r="H68" s="288">
        <f>IF(Stamoplysninger!$E$18="Ikke omfattet af overenskomst - ansat med en variabel årsnorm",7.4*Stamoplysninger!$E$21*August!$H$54,0)</f>
        <v>0</v>
      </c>
      <c r="I68" s="288"/>
      <c r="J68" s="289">
        <f>IF(Stamoplysninger!$E$18="Ikke omfattet af overenskomst - ansat med en variabel årsnorm",August!H68,0)</f>
        <v>0</v>
      </c>
      <c r="K68" s="291"/>
      <c r="L68" s="292"/>
      <c r="M68" s="280"/>
      <c r="N68" s="280"/>
      <c r="O68" s="280"/>
      <c r="P68" s="280"/>
      <c r="AA68" s="130"/>
      <c r="AB68" s="130"/>
      <c r="AC68" s="130"/>
      <c r="AD68" s="130"/>
      <c r="AE68" s="130"/>
      <c r="AF68" s="118"/>
      <c r="AG68" s="118"/>
      <c r="AH68" s="118"/>
      <c r="AI68" s="118"/>
      <c r="AJ68" s="118"/>
      <c r="AK68" s="118"/>
      <c r="AL68" s="118"/>
      <c r="AM68" s="137"/>
      <c r="AN68" s="137"/>
      <c r="AO68" s="137"/>
      <c r="AP68" s="137"/>
      <c r="AQ68" s="130"/>
      <c r="AS68" s="130"/>
      <c r="AT68" s="130"/>
      <c r="AX68" s="56"/>
      <c r="AY68" s="56"/>
      <c r="BD68" s="130"/>
      <c r="BH68" s="56"/>
      <c r="BI68" s="56"/>
      <c r="BR68" s="63"/>
      <c r="BS68" s="130"/>
      <c r="BT68" s="130"/>
      <c r="BU68" s="130"/>
      <c r="BV68" s="130"/>
      <c r="BW68" s="118"/>
      <c r="BX68" s="118"/>
      <c r="BY68" s="118"/>
      <c r="BZ68" s="118"/>
      <c r="CA68" s="118"/>
      <c r="CB68" s="118"/>
      <c r="CC68" s="118"/>
      <c r="CD68" s="137"/>
      <c r="CE68" s="137"/>
      <c r="CF68" s="137"/>
      <c r="CG68" s="137"/>
      <c r="CH68" s="130"/>
      <c r="CJ68" s="130"/>
      <c r="CK68" s="130"/>
      <c r="CO68" s="56"/>
      <c r="CP68" s="56"/>
      <c r="CU68" s="130"/>
      <c r="CY68" s="56"/>
      <c r="CZ68" s="56"/>
      <c r="DG68" s="1"/>
      <c r="DI68" s="138"/>
      <c r="DJ68" s="138"/>
    </row>
    <row r="69" spans="1:114" hidden="1">
      <c r="A69" s="650" t="s">
        <v>406</v>
      </c>
      <c r="B69" s="650"/>
      <c r="C69" s="650"/>
      <c r="D69" s="651">
        <f>COUNTIF([0]!AUGUST,"Normal uge 5")</f>
        <v>0</v>
      </c>
      <c r="E69" s="296"/>
      <c r="F69" s="295"/>
      <c r="G69" s="295"/>
      <c r="H69" s="288"/>
      <c r="I69" s="288"/>
      <c r="J69" s="289">
        <f>SUM(J64:J68)</f>
        <v>0</v>
      </c>
      <c r="K69" s="291"/>
      <c r="L69" s="292"/>
      <c r="M69" s="280"/>
      <c r="N69" s="280"/>
      <c r="O69" s="280"/>
      <c r="P69" s="280"/>
      <c r="AA69" s="130"/>
      <c r="AB69" s="130"/>
      <c r="AC69" s="130"/>
      <c r="AD69" s="130"/>
      <c r="AE69" s="130"/>
      <c r="AF69" s="118"/>
      <c r="AG69" s="118"/>
      <c r="AH69" s="118"/>
      <c r="AI69" s="118"/>
      <c r="AJ69" s="118"/>
      <c r="AK69" s="118"/>
      <c r="AL69" s="118"/>
      <c r="AM69" s="137"/>
      <c r="AN69" s="137"/>
      <c r="AO69" s="137"/>
      <c r="AP69" s="137"/>
      <c r="AQ69" s="130"/>
      <c r="AS69" s="130"/>
      <c r="AT69" s="130"/>
      <c r="AX69" s="56"/>
      <c r="AY69" s="56"/>
      <c r="BD69" s="130"/>
      <c r="BH69" s="56"/>
      <c r="BI69" s="56"/>
      <c r="BR69" s="63"/>
      <c r="BS69" s="130"/>
      <c r="BT69" s="130"/>
      <c r="BU69" s="130"/>
      <c r="BV69" s="130"/>
      <c r="BW69" s="118"/>
      <c r="BX69" s="118"/>
      <c r="BY69" s="118"/>
      <c r="BZ69" s="118"/>
      <c r="CA69" s="118"/>
      <c r="CB69" s="118"/>
      <c r="CC69" s="118"/>
      <c r="CD69" s="137"/>
      <c r="CE69" s="137"/>
      <c r="CF69" s="137"/>
      <c r="CG69" s="137"/>
      <c r="CH69" s="130"/>
      <c r="CJ69" s="130"/>
      <c r="CK69" s="130"/>
      <c r="CO69" s="56"/>
      <c r="CP69" s="56"/>
      <c r="CU69" s="130"/>
      <c r="CY69" s="56"/>
      <c r="CZ69" s="56"/>
      <c r="DG69" s="1"/>
      <c r="DI69" s="138"/>
      <c r="DJ69" s="138"/>
    </row>
    <row r="70" spans="1:114" hidden="1">
      <c r="A70" s="652" t="s">
        <v>407</v>
      </c>
      <c r="B70" s="652"/>
      <c r="C70" s="652"/>
      <c r="D70" s="653">
        <f>COUNTIF([0]!AUGUST,"Normal uge 6")</f>
        <v>0</v>
      </c>
      <c r="E70" s="296"/>
      <c r="F70" s="295"/>
      <c r="G70" s="295"/>
      <c r="H70" s="288"/>
      <c r="I70" s="288"/>
      <c r="J70" s="289"/>
      <c r="K70" s="291"/>
      <c r="L70" s="292"/>
      <c r="M70" s="280"/>
      <c r="N70" s="280"/>
      <c r="O70" s="280"/>
      <c r="P70" s="280"/>
      <c r="AA70" s="130"/>
      <c r="AB70" s="130"/>
      <c r="AC70" s="130"/>
      <c r="AD70" s="130"/>
      <c r="AE70" s="130"/>
      <c r="AF70" s="118"/>
      <c r="AG70" s="118"/>
      <c r="AH70" s="118"/>
      <c r="AI70" s="118"/>
      <c r="AJ70" s="118"/>
      <c r="AK70" s="118"/>
      <c r="AL70" s="118"/>
      <c r="AM70" s="137"/>
      <c r="AN70" s="137"/>
      <c r="AO70" s="137"/>
      <c r="AP70" s="137"/>
      <c r="AQ70" s="130"/>
      <c r="AS70" s="130"/>
      <c r="AT70" s="130"/>
      <c r="AX70" s="56"/>
      <c r="AY70" s="56"/>
      <c r="BD70" s="130"/>
      <c r="BH70" s="56"/>
      <c r="BI70" s="56"/>
      <c r="BR70" s="63"/>
      <c r="BS70" s="130"/>
      <c r="BT70" s="130"/>
      <c r="BU70" s="130"/>
      <c r="BV70" s="130"/>
      <c r="BW70" s="118"/>
      <c r="BX70" s="118"/>
      <c r="BY70" s="118"/>
      <c r="BZ70" s="118"/>
      <c r="CA70" s="118"/>
      <c r="CB70" s="118"/>
      <c r="CC70" s="118"/>
      <c r="CD70" s="137"/>
      <c r="CE70" s="137"/>
      <c r="CF70" s="137"/>
      <c r="CG70" s="137"/>
      <c r="CH70" s="130"/>
      <c r="CJ70" s="130"/>
      <c r="CK70" s="130"/>
      <c r="CO70" s="56"/>
      <c r="CP70" s="56"/>
      <c r="CU70" s="130"/>
      <c r="CY70" s="56"/>
      <c r="CZ70" s="56"/>
      <c r="DG70" s="1"/>
      <c r="DI70" s="138"/>
      <c r="DJ70" s="138"/>
    </row>
    <row r="71" spans="1:114" hidden="1">
      <c r="A71" s="436" t="s">
        <v>228</v>
      </c>
      <c r="B71" s="436"/>
      <c r="C71" s="436"/>
      <c r="D71" s="436">
        <f>COUNTIF([0]!AUGUST,"Anderledes dag")</f>
        <v>0</v>
      </c>
      <c r="E71" s="296"/>
      <c r="F71" s="295"/>
      <c r="G71" s="295"/>
      <c r="H71" s="288"/>
      <c r="I71" s="292"/>
      <c r="J71" s="289"/>
      <c r="K71" s="291"/>
      <c r="L71" s="292"/>
      <c r="M71" s="280"/>
      <c r="N71" s="280"/>
      <c r="O71" s="280"/>
      <c r="P71" s="280"/>
      <c r="AA71"/>
      <c r="AB71"/>
      <c r="AW71" s="1"/>
      <c r="BG71" s="1"/>
      <c r="BR71" s="63"/>
      <c r="BS71"/>
      <c r="BT71"/>
      <c r="CN71" s="1"/>
      <c r="CX71" s="1"/>
      <c r="DG71" s="138"/>
    </row>
    <row r="72" spans="1:114" hidden="1">
      <c r="A72" s="437" t="s">
        <v>370</v>
      </c>
      <c r="B72" s="438"/>
      <c r="C72" s="438"/>
      <c r="D72" s="438">
        <f>COUNTIF([0]!AUGUST,"Ferieåbning")</f>
        <v>0</v>
      </c>
      <c r="E72" s="296"/>
      <c r="F72" s="295"/>
      <c r="G72" s="295"/>
      <c r="H72" s="288"/>
      <c r="I72" s="292"/>
      <c r="J72" s="292"/>
      <c r="K72" s="292"/>
      <c r="L72" s="292"/>
      <c r="M72" s="280"/>
      <c r="N72" s="280"/>
      <c r="O72" s="280"/>
      <c r="P72" s="280"/>
      <c r="AA72"/>
      <c r="AB72"/>
      <c r="AW72" s="1"/>
      <c r="BG72" s="1"/>
      <c r="BR72" s="63"/>
      <c r="BS72"/>
      <c r="BT72"/>
      <c r="CN72" s="1"/>
      <c r="CX72" s="1"/>
      <c r="DG72" s="138"/>
    </row>
    <row r="73" spans="1:114" hidden="1">
      <c r="A73" s="441" t="s">
        <v>218</v>
      </c>
      <c r="B73" s="442"/>
      <c r="C73" s="442"/>
      <c r="D73" s="442">
        <f>COUNTIF([0]!AUGUST,"Rul 1")</f>
        <v>0</v>
      </c>
      <c r="E73" s="296"/>
      <c r="F73" s="295"/>
      <c r="G73" s="295"/>
      <c r="H73" s="288"/>
      <c r="I73" s="292"/>
      <c r="J73" s="292"/>
      <c r="K73" s="292"/>
      <c r="L73" s="292"/>
      <c r="M73" s="252"/>
      <c r="N73" s="252"/>
      <c r="O73" s="252"/>
      <c r="P73" s="252"/>
      <c r="AA73"/>
      <c r="AB73"/>
      <c r="AW73" s="1"/>
      <c r="BG73" s="1"/>
      <c r="BR73" s="63"/>
      <c r="BS73"/>
      <c r="BT73"/>
      <c r="CN73" s="1"/>
      <c r="CX73" s="1"/>
      <c r="DG73" s="138"/>
    </row>
    <row r="74" spans="1:114" hidden="1">
      <c r="A74" s="439" t="s">
        <v>219</v>
      </c>
      <c r="B74" s="440"/>
      <c r="C74" s="440"/>
      <c r="D74" s="440">
        <f>COUNTIF([0]!AUGUST,"Rul 2")</f>
        <v>0</v>
      </c>
      <c r="E74" s="296"/>
      <c r="F74" s="295"/>
      <c r="G74" s="295"/>
      <c r="H74" s="288"/>
      <c r="I74" s="292"/>
      <c r="J74" s="292"/>
      <c r="K74" s="292"/>
      <c r="L74" s="292"/>
      <c r="AA74"/>
      <c r="AB74"/>
      <c r="AW74" s="1"/>
      <c r="BG74" s="1"/>
      <c r="BR74" s="63"/>
      <c r="BS74"/>
      <c r="BT74"/>
      <c r="CN74" s="1"/>
      <c r="CX74" s="1"/>
      <c r="DG74" s="138"/>
    </row>
    <row r="75" spans="1:114" hidden="1">
      <c r="A75" s="443" t="s">
        <v>220</v>
      </c>
      <c r="B75" s="444"/>
      <c r="C75" s="444"/>
      <c r="D75" s="444">
        <f>COUNTIF([0]!AUGUST,"Rul 3")</f>
        <v>0</v>
      </c>
      <c r="E75" s="296"/>
      <c r="F75" s="295"/>
      <c r="G75" s="295"/>
      <c r="H75" s="288"/>
      <c r="I75" s="292"/>
      <c r="J75" s="292"/>
      <c r="K75" s="292"/>
      <c r="L75" s="292"/>
      <c r="P75" s="288"/>
      <c r="AA75"/>
      <c r="AB75"/>
      <c r="AW75" s="1"/>
      <c r="BG75" s="1"/>
      <c r="BR75" s="63"/>
      <c r="BS75"/>
      <c r="BT75"/>
      <c r="CN75" s="1"/>
      <c r="CX75" s="1"/>
      <c r="DG75" s="138"/>
    </row>
    <row r="76" spans="1:114" hidden="1">
      <c r="A76" s="445" t="s">
        <v>221</v>
      </c>
      <c r="B76" s="446"/>
      <c r="C76" s="446"/>
      <c r="D76" s="446">
        <f>COUNTIF([0]!AUGUST,"Rul 4")</f>
        <v>0</v>
      </c>
      <c r="E76" s="296"/>
      <c r="F76" s="295"/>
      <c r="G76" s="295"/>
      <c r="H76" s="288"/>
      <c r="I76" s="292"/>
      <c r="J76" s="292"/>
      <c r="K76" s="292"/>
      <c r="L76" s="292"/>
      <c r="AA76"/>
      <c r="AB76"/>
      <c r="AW76" s="1"/>
      <c r="BG76" s="1"/>
      <c r="BS76"/>
      <c r="BT76"/>
      <c r="CN76" s="1"/>
      <c r="CX76" s="1"/>
      <c r="DG76" s="138"/>
    </row>
    <row r="77" spans="1:114" hidden="1">
      <c r="A77" s="447" t="s">
        <v>222</v>
      </c>
      <c r="B77" s="448"/>
      <c r="C77" s="448"/>
      <c r="D77" s="448">
        <f>COUNTIF([0]!AUGUST,"Rul 5")</f>
        <v>0</v>
      </c>
      <c r="E77" s="296"/>
      <c r="F77" s="295"/>
      <c r="G77" s="295"/>
      <c r="H77" s="288"/>
      <c r="I77" s="292"/>
      <c r="J77" s="292"/>
      <c r="K77" s="292"/>
      <c r="L77" s="292"/>
      <c r="AA77"/>
      <c r="AB77"/>
      <c r="AW77" s="1"/>
      <c r="BG77" s="1"/>
      <c r="BS77"/>
      <c r="BT77"/>
      <c r="CN77" s="1"/>
      <c r="CX77" s="1"/>
      <c r="DG77" s="138"/>
    </row>
    <row r="78" spans="1:114" hidden="1">
      <c r="A78" s="449" t="s">
        <v>223</v>
      </c>
      <c r="B78" s="450"/>
      <c r="C78" s="450"/>
      <c r="D78" s="450">
        <f>COUNTIF([0]!AUGUST,"Rul 6")</f>
        <v>0</v>
      </c>
      <c r="E78" s="296"/>
      <c r="F78" s="298"/>
      <c r="G78" s="298"/>
      <c r="H78" s="294"/>
      <c r="I78" s="292"/>
      <c r="J78" s="292"/>
      <c r="K78" s="292"/>
      <c r="L78" s="292"/>
      <c r="AA78"/>
      <c r="AB78"/>
      <c r="AW78" s="1"/>
      <c r="BG78" s="1"/>
      <c r="BS78"/>
      <c r="BT78"/>
      <c r="CN78" s="1"/>
      <c r="CX78" s="1"/>
      <c r="DG78" s="138"/>
    </row>
    <row r="79" spans="1:114" hidden="1">
      <c r="A79" s="451" t="s">
        <v>83</v>
      </c>
      <c r="B79" s="451"/>
      <c r="C79" s="451"/>
      <c r="D79" s="451">
        <f>COUNTIF([0]!AUGUST,"Pæd.dag")</f>
        <v>0</v>
      </c>
      <c r="E79" s="296"/>
      <c r="F79" s="295"/>
      <c r="G79" s="295"/>
      <c r="H79" s="288"/>
      <c r="I79" s="292"/>
      <c r="J79" s="292"/>
      <c r="K79" s="292"/>
      <c r="L79" s="291"/>
      <c r="AA79"/>
      <c r="AB79"/>
      <c r="AW79" s="1"/>
      <c r="BG79" s="1"/>
      <c r="BS79"/>
      <c r="BT79"/>
      <c r="CN79" s="1"/>
      <c r="CX79" s="1"/>
      <c r="DG79" s="138"/>
    </row>
    <row r="80" spans="1:114" hidden="1">
      <c r="A80" s="452" t="s">
        <v>227</v>
      </c>
      <c r="B80" s="452"/>
      <c r="C80" s="452"/>
      <c r="D80" s="452">
        <f>COUNTIF([0]!AUGUST,"Koloni")</f>
        <v>0</v>
      </c>
      <c r="E80" s="296"/>
      <c r="F80" s="295"/>
      <c r="G80" s="295"/>
      <c r="H80" s="288"/>
      <c r="I80" s="292"/>
      <c r="J80" s="292"/>
      <c r="K80" s="292"/>
      <c r="L80" s="291"/>
      <c r="AA80"/>
      <c r="AB80"/>
      <c r="AW80" s="1"/>
      <c r="BG80" s="1"/>
      <c r="BS80"/>
      <c r="BT80"/>
      <c r="CN80" s="1"/>
      <c r="CX80" s="1"/>
      <c r="DG80" s="138"/>
    </row>
    <row r="81" spans="1:114" hidden="1">
      <c r="A81" s="453" t="s">
        <v>82</v>
      </c>
      <c r="B81" s="453"/>
      <c r="C81" s="453"/>
      <c r="D81" s="453">
        <f>COUNTIF([0]!AUGUST,"Ekskursion")</f>
        <v>0</v>
      </c>
      <c r="E81" s="296"/>
      <c r="F81" s="295"/>
      <c r="G81" s="295"/>
      <c r="H81" s="288"/>
      <c r="I81" s="292"/>
      <c r="J81" s="292"/>
      <c r="K81" s="292"/>
      <c r="L81" s="291"/>
      <c r="AA81"/>
      <c r="AB81"/>
      <c r="AW81" s="1"/>
      <c r="BG81" s="1"/>
      <c r="BS81"/>
      <c r="BT81"/>
      <c r="CN81" s="1"/>
      <c r="CX81" s="1"/>
      <c r="DG81" s="138"/>
    </row>
    <row r="82" spans="1:114" hidden="1">
      <c r="A82" s="454" t="s">
        <v>109</v>
      </c>
      <c r="B82" s="454"/>
      <c r="C82" s="454"/>
      <c r="D82" s="454">
        <f>COUNTIF([0]!AUGUST,"Feriedag")</f>
        <v>0</v>
      </c>
      <c r="E82" s="295"/>
      <c r="F82" s="295"/>
      <c r="G82" s="295"/>
      <c r="H82" s="288"/>
      <c r="I82" s="292"/>
      <c r="J82" s="292"/>
      <c r="K82" s="292"/>
      <c r="L82" s="291"/>
      <c r="AA82"/>
      <c r="AB82"/>
      <c r="AW82" s="1"/>
      <c r="BG82" s="1"/>
      <c r="BS82"/>
      <c r="BT82"/>
      <c r="CN82" s="1"/>
      <c r="CX82" s="1"/>
      <c r="DG82" s="138"/>
    </row>
    <row r="83" spans="1:114" hidden="1">
      <c r="A83" s="455" t="s">
        <v>78</v>
      </c>
      <c r="B83" s="455"/>
      <c r="C83" s="455"/>
      <c r="D83" s="455">
        <f>COUNTIF([0]!AUGUST,"Nul-dag")</f>
        <v>0</v>
      </c>
      <c r="E83" s="299"/>
      <c r="F83" s="295"/>
      <c r="G83" s="295"/>
      <c r="H83" s="288"/>
      <c r="I83" s="292"/>
      <c r="J83" s="292"/>
      <c r="K83" s="292"/>
      <c r="L83" s="291"/>
      <c r="AA83"/>
      <c r="AB83"/>
      <c r="AW83" s="1"/>
      <c r="BG83" s="1"/>
      <c r="BS83"/>
      <c r="BT83"/>
      <c r="CN83" s="1"/>
      <c r="CX83" s="1"/>
      <c r="DG83" s="138"/>
    </row>
    <row r="84" spans="1:114" hidden="1">
      <c r="A84" s="456" t="s">
        <v>176</v>
      </c>
      <c r="B84" s="456"/>
      <c r="C84" s="456"/>
      <c r="D84" s="456">
        <f>COUNTIF([0]!AUGUST,"Orlov")</f>
        <v>0</v>
      </c>
      <c r="E84" s="295"/>
      <c r="F84" s="295"/>
      <c r="G84" s="295"/>
      <c r="H84" s="288"/>
      <c r="I84" s="288"/>
      <c r="J84" s="292"/>
      <c r="K84" s="292"/>
      <c r="L84" s="291"/>
      <c r="AA84"/>
      <c r="AB84"/>
      <c r="AW84" s="1"/>
      <c r="BG84" s="1"/>
      <c r="BS84"/>
      <c r="BT84"/>
      <c r="CN84" s="1"/>
      <c r="CX84" s="1"/>
      <c r="DG84" s="138"/>
    </row>
    <row r="85" spans="1:114" hidden="1">
      <c r="A85" s="90" t="s">
        <v>98</v>
      </c>
      <c r="B85" s="90"/>
      <c r="C85" s="90"/>
      <c r="D85" s="90">
        <f>COUNTIF([0]!AUGUST,"Ikke relevant")</f>
        <v>0</v>
      </c>
      <c r="E85" s="295"/>
      <c r="F85" s="295"/>
      <c r="G85" s="295"/>
      <c r="H85" s="288"/>
      <c r="I85" s="288"/>
      <c r="J85" s="291"/>
      <c r="K85" s="291"/>
      <c r="L85" s="291"/>
      <c r="AA85"/>
      <c r="AB85"/>
      <c r="AW85" s="1"/>
      <c r="BG85" s="1"/>
      <c r="BS85"/>
      <c r="BT85"/>
      <c r="CN85" s="1"/>
      <c r="CX85" s="1"/>
      <c r="DG85" s="138"/>
    </row>
    <row r="86" spans="1:114" hidden="1">
      <c r="A86" s="457" t="s">
        <v>77</v>
      </c>
      <c r="B86" s="457"/>
      <c r="C86" s="457"/>
      <c r="D86" s="457">
        <f>COUNTIF([0]!AUGUST,"Weekend")</f>
        <v>10</v>
      </c>
      <c r="E86" s="295"/>
      <c r="F86" s="295"/>
      <c r="G86" s="295"/>
      <c r="H86" s="288"/>
      <c r="I86" s="288"/>
      <c r="J86" s="291"/>
      <c r="K86" s="291"/>
      <c r="L86" s="291"/>
      <c r="AA86"/>
      <c r="AB86"/>
      <c r="AW86" s="1"/>
      <c r="BG86" s="1"/>
      <c r="BS86"/>
      <c r="BT86"/>
      <c r="CN86" s="1"/>
      <c r="CX86" s="1"/>
      <c r="DG86" s="138"/>
    </row>
    <row r="87" spans="1:114" hidden="1">
      <c r="A87" s="458" t="s">
        <v>76</v>
      </c>
      <c r="B87" s="301"/>
      <c r="C87" s="301"/>
      <c r="D87" s="301">
        <f>COUNTIF([0]!AUGUST,"SH-dag")</f>
        <v>0</v>
      </c>
      <c r="E87" s="295"/>
      <c r="F87" s="295"/>
      <c r="G87" s="295"/>
      <c r="H87" s="288"/>
      <c r="I87" s="288"/>
      <c r="J87" s="291"/>
      <c r="K87" s="291"/>
      <c r="L87" s="291"/>
      <c r="AA87"/>
      <c r="AB87"/>
      <c r="AW87" s="1">
        <f>SUM(P87:AV87)</f>
        <v>0</v>
      </c>
      <c r="BG87" s="1">
        <f>SUM(Z87:BF87)</f>
        <v>0</v>
      </c>
      <c r="BS87"/>
      <c r="BT87"/>
      <c r="CN87" s="1">
        <f>SUM(AV87:CM87)</f>
        <v>0</v>
      </c>
      <c r="CX87" s="1">
        <f>SUM(BQ87:CW87)</f>
        <v>0</v>
      </c>
      <c r="DG87" s="138"/>
    </row>
    <row r="88" spans="1:114" hidden="1">
      <c r="A88" s="295" t="s">
        <v>73</v>
      </c>
      <c r="B88" s="295"/>
      <c r="C88" s="295"/>
      <c r="D88" s="295">
        <f>SUM(D65:D87)</f>
        <v>31</v>
      </c>
      <c r="E88" s="295"/>
      <c r="F88" s="295"/>
      <c r="G88" s="295"/>
      <c r="H88" s="288"/>
      <c r="I88" s="288"/>
      <c r="J88" s="291"/>
      <c r="K88" s="291"/>
      <c r="L88" s="291"/>
      <c r="AA88"/>
      <c r="AB88"/>
      <c r="AW88" s="1">
        <f>SUM(P88:AV88)</f>
        <v>0</v>
      </c>
      <c r="BG88" s="1">
        <f>SUM(Z88:BF88)</f>
        <v>0</v>
      </c>
      <c r="BS88"/>
      <c r="BT88"/>
      <c r="CN88" s="1">
        <f>SUM(AV88:CM88)</f>
        <v>0</v>
      </c>
      <c r="CX88" s="1">
        <f>SUM(BQ88:CW88)</f>
        <v>0</v>
      </c>
      <c r="DG88" s="138"/>
    </row>
    <row r="89" spans="1:114" hidden="1">
      <c r="A89" s="295" t="s">
        <v>122</v>
      </c>
      <c r="B89" s="295"/>
      <c r="C89" s="295"/>
      <c r="D89" s="295">
        <f>D88-D82-A98-D86-D87-D85</f>
        <v>21</v>
      </c>
      <c r="E89" s="295"/>
      <c r="F89" s="295"/>
      <c r="G89" s="295"/>
      <c r="H89" s="288"/>
      <c r="I89" s="288"/>
      <c r="J89" s="291"/>
      <c r="K89" s="291"/>
      <c r="L89" s="291"/>
      <c r="AA89"/>
      <c r="AB89"/>
      <c r="AW89" s="1">
        <f>SUM(P89:AV89)</f>
        <v>0</v>
      </c>
      <c r="BG89" s="1">
        <f>SUM(Z89:BF89)</f>
        <v>0</v>
      </c>
      <c r="BS89"/>
      <c r="BT89"/>
      <c r="CN89" s="1">
        <f>SUM(AV89:CM89)</f>
        <v>0</v>
      </c>
      <c r="CX89" s="1">
        <f>SUM(BQ89:CW89)</f>
        <v>0</v>
      </c>
      <c r="DG89" s="138"/>
    </row>
    <row r="90" spans="1:114" hidden="1">
      <c r="A90" s="295"/>
      <c r="B90" s="295"/>
      <c r="C90" s="295"/>
      <c r="D90" s="295"/>
      <c r="E90" s="295"/>
      <c r="F90" s="295"/>
      <c r="G90" s="295"/>
      <c r="H90" s="288"/>
      <c r="I90" s="288"/>
      <c r="J90" s="291"/>
      <c r="K90" s="291"/>
      <c r="L90" s="291"/>
      <c r="AA90"/>
      <c r="AB90"/>
      <c r="AW90" s="1">
        <f>SUM(P90:AV90)</f>
        <v>0</v>
      </c>
      <c r="BG90" s="1">
        <f>SUM(Z90:BF90)</f>
        <v>0</v>
      </c>
      <c r="BS90"/>
      <c r="BT90"/>
      <c r="CN90" s="1">
        <f>SUM(AV90:CM90)</f>
        <v>0</v>
      </c>
      <c r="CX90" s="1">
        <f>SUM(BQ90:CW90)</f>
        <v>0</v>
      </c>
      <c r="DG90" s="138"/>
    </row>
    <row r="91" spans="1:114" hidden="1">
      <c r="A91" s="295"/>
      <c r="B91" s="295"/>
      <c r="C91" s="295"/>
      <c r="D91" s="295"/>
      <c r="E91" s="295"/>
      <c r="F91" s="295"/>
      <c r="G91" s="295"/>
      <c r="H91" s="288"/>
      <c r="I91" s="288"/>
      <c r="J91" s="291"/>
      <c r="K91" s="291"/>
      <c r="L91" s="33"/>
      <c r="AA91"/>
      <c r="AB91"/>
      <c r="BS91"/>
      <c r="BT91"/>
      <c r="DG91" s="138"/>
    </row>
    <row r="92" spans="1:114" hidden="1">
      <c r="A92" s="295" t="s">
        <v>138</v>
      </c>
      <c r="B92" s="295"/>
      <c r="C92" s="295"/>
      <c r="D92" s="295"/>
      <c r="E92" s="295"/>
      <c r="F92" s="295"/>
      <c r="G92" s="295"/>
      <c r="H92" s="291"/>
      <c r="I92" s="288"/>
      <c r="J92" s="291"/>
      <c r="K92" s="291"/>
      <c r="L92" s="33"/>
      <c r="AA92"/>
      <c r="AB92"/>
      <c r="BS92"/>
      <c r="BT92"/>
      <c r="DG92" s="138"/>
    </row>
    <row r="93" spans="1:114" hidden="1">
      <c r="A93" s="295">
        <f>COUNTIF(C21:C22,"Normal uge 1")+COUNTIF(C21:C22,"Normal uge 2")+COUNTIF(C21:C22,"Normal uge 3")+COUNTIF(C21:C22,"Normal uge 4")+COUNTIF(C21:C22,"Anderledes dag")+COUNTIF(C21:C22,"Feriepasningsdag")+COUNTIF(C21:C22,"Koloni")+COUNTIF(C21:C22,"Ekskursion")+COUNTIF(C21:C22,"Pæd.dag")</f>
        <v>0</v>
      </c>
      <c r="B93" s="295"/>
      <c r="C93" s="295"/>
      <c r="D93" s="295"/>
      <c r="E93" s="295"/>
      <c r="F93" s="295"/>
      <c r="G93" s="295"/>
      <c r="H93" s="291"/>
      <c r="I93" s="291"/>
      <c r="J93" s="291"/>
      <c r="K93" s="291"/>
      <c r="L93" s="33"/>
      <c r="AA93"/>
      <c r="AB93"/>
      <c r="BS93"/>
      <c r="BT93"/>
      <c r="DG93" s="138"/>
    </row>
    <row r="94" spans="1:114" hidden="1">
      <c r="A94" s="295">
        <f>COUNTIF(C28:C29,"Normal uge 1")+COUNTIF(C28:C29,"Normal uge 2")+COUNTIF(C28:C29,"Normal uge 3")+COUNTIF(C28:C29,"Normal uge 4")+COUNTIF(C28:C29,"Anderledes dag")+COUNTIF(C28:C29,"Feriepasningsdag")+COUNTIF(C28:C29,"Pæd.dag")+COUNTIF(C28:C29,"Ekskursion")+COUNTIF(C28:C29,"Koloni")</f>
        <v>0</v>
      </c>
      <c r="B94" s="295"/>
      <c r="C94" s="295"/>
      <c r="D94" s="295"/>
      <c r="E94" s="295"/>
      <c r="F94" s="295"/>
      <c r="G94" s="295"/>
      <c r="H94" s="291"/>
      <c r="I94" s="33"/>
      <c r="J94" s="291"/>
      <c r="K94" s="291"/>
      <c r="L94" s="33"/>
      <c r="AA94"/>
      <c r="AB94"/>
      <c r="BS94"/>
      <c r="BT94"/>
      <c r="DG94" s="138"/>
    </row>
    <row r="95" spans="1:114" hidden="1">
      <c r="A95" s="295">
        <f>COUNTIF(C35:C36,"Normal uge 1")+COUNTIF(C35:C36,"Normal uge 2")+COUNTIF(C35:C36,"Normal uge 3")+COUNTIF(C35:C36,"Normal uge 4")+COUNTIF(C35:C36,"Anderledes dag")+COUNTIF(C35:C36,"Feriepasningsdag")+COUNTIF(C35:C36,"Koloni")+COUNTIF(C35:C36,"Ekskursion")+COUNTIF(C35:C36,"Pæd.dag")</f>
        <v>0</v>
      </c>
      <c r="B95" s="295"/>
      <c r="C95" s="295"/>
      <c r="D95" s="295"/>
      <c r="E95" s="288"/>
      <c r="F95" s="288"/>
      <c r="G95" s="288"/>
      <c r="H95" s="291"/>
      <c r="I95" s="33"/>
      <c r="J95" s="33"/>
      <c r="K95" s="33"/>
      <c r="L95" s="33"/>
      <c r="AA95"/>
      <c r="AB95"/>
      <c r="BS95"/>
      <c r="BT95"/>
      <c r="DG95" s="138"/>
    </row>
    <row r="96" spans="1:114" hidden="1">
      <c r="A96" s="295">
        <f>COUNTIF(C42:C43,"Normal uge 1")+COUNTIF(C42:C43,"Normal uge 2")+COUNTIF(C42:C43,"Normal uge 3")+COUNTIF(C42:C43,"Normal uge 4")+COUNTIF(C42:C43,"Anderledes dag")+COUNTIF(C42:C43,"Feriepasningsdag")+COUNTIF(C42:C43,"Koloni")+COUNTIF(C42:C43,"Ekskursion")+COUNTIF(C42:C43,"Pæd.dag")</f>
        <v>0</v>
      </c>
      <c r="B96" s="295"/>
      <c r="C96" s="295"/>
      <c r="D96" s="295"/>
      <c r="E96" s="288"/>
      <c r="F96" s="288"/>
      <c r="G96" s="288"/>
      <c r="H96" s="291"/>
      <c r="I96" s="33"/>
      <c r="J96" s="33"/>
      <c r="K96" s="33"/>
      <c r="L96" s="33"/>
      <c r="AA96"/>
      <c r="AB96"/>
      <c r="AF96" s="4"/>
      <c r="AG96" s="4"/>
      <c r="AH96" s="4"/>
      <c r="AI96" s="4"/>
      <c r="AJ96" s="4"/>
      <c r="AK96" s="4"/>
      <c r="AL96" s="4"/>
      <c r="AM96" s="127"/>
      <c r="AN96" s="127"/>
      <c r="AO96" s="127"/>
      <c r="AP96" s="127"/>
      <c r="BS96"/>
      <c r="BT96"/>
      <c r="BW96" s="4"/>
      <c r="BX96" s="4"/>
      <c r="BY96" s="4"/>
      <c r="BZ96" s="4"/>
      <c r="CA96" s="4"/>
      <c r="CB96" s="4"/>
      <c r="CC96" s="4"/>
      <c r="CD96" s="127"/>
      <c r="CE96" s="127"/>
      <c r="CF96" s="127"/>
      <c r="CG96" s="127"/>
      <c r="DI96" s="138"/>
      <c r="DJ96" s="138"/>
    </row>
    <row r="97" spans="1:114" hidden="1">
      <c r="A97" s="295">
        <f>COUNTIF(C49:C50,"Normal uge 1")+COUNTIF(C49:C50,"Normal uge 2")+COUNTIF(C49:C50,"Normal uge 3")+COUNTIF(C49:C50,"Normal uge 4")+COUNTIF(C49:C50,"Anderledes dag")+COUNTIF(C49:C50,"Feriepasningsdag")+COUNTIF(C49:C50,"Koloni")+COUNTIF(C49:C50,"Ekskursion")+COUNTIF(C49:C50,"Pæd.dag")</f>
        <v>0</v>
      </c>
      <c r="B97" s="295"/>
      <c r="C97" s="295"/>
      <c r="D97" s="295"/>
      <c r="E97" s="288"/>
      <c r="F97" s="288"/>
      <c r="G97" s="288"/>
      <c r="H97" s="291"/>
      <c r="I97" s="33"/>
      <c r="J97" s="33"/>
      <c r="K97" s="33"/>
      <c r="L97" s="33"/>
      <c r="AA97"/>
      <c r="AB97"/>
      <c r="AF97" s="4"/>
      <c r="AG97" s="4"/>
      <c r="AH97" s="4"/>
      <c r="AI97" s="4"/>
      <c r="AJ97" s="4"/>
      <c r="AK97" s="4"/>
      <c r="AL97" s="4"/>
      <c r="AM97" s="127"/>
      <c r="AN97" s="127"/>
      <c r="AO97" s="127"/>
      <c r="AP97" s="127"/>
      <c r="BS97"/>
      <c r="BT97"/>
      <c r="BW97" s="4"/>
      <c r="BX97" s="4"/>
      <c r="BY97" s="4"/>
      <c r="BZ97" s="4"/>
      <c r="CA97" s="4"/>
      <c r="CB97" s="4"/>
      <c r="CC97" s="4"/>
      <c r="CD97" s="127"/>
      <c r="CE97" s="127"/>
      <c r="CF97" s="127"/>
      <c r="CG97" s="127"/>
      <c r="DI97" s="138"/>
      <c r="DJ97" s="138"/>
    </row>
    <row r="98" spans="1:114" hidden="1">
      <c r="A98" s="295">
        <f>SUM(A93:A97)</f>
        <v>0</v>
      </c>
      <c r="B98" s="295"/>
      <c r="C98" s="295"/>
      <c r="D98" s="295"/>
      <c r="E98" s="68"/>
      <c r="F98" s="68"/>
      <c r="G98" s="68"/>
      <c r="H98" s="33"/>
      <c r="I98" s="33"/>
      <c r="J98" s="33"/>
      <c r="K98" s="33"/>
      <c r="L98" s="33"/>
    </row>
    <row r="99" spans="1:114" hidden="1">
      <c r="A99" s="300"/>
      <c r="B99" s="300"/>
      <c r="C99" s="300"/>
      <c r="D99" s="300"/>
      <c r="E99" s="68"/>
      <c r="F99" s="68"/>
      <c r="G99" s="68"/>
      <c r="H99" s="33"/>
      <c r="I99" s="33"/>
      <c r="J99" s="33"/>
      <c r="K99" s="33"/>
      <c r="L99" s="33"/>
    </row>
    <row r="100" spans="1:114" hidden="1">
      <c r="A100" s="33"/>
      <c r="B100" s="33"/>
      <c r="C100" s="33"/>
      <c r="D100" s="33"/>
      <c r="E100" s="260"/>
      <c r="F100" s="260"/>
      <c r="G100" s="260"/>
      <c r="H100" s="260"/>
      <c r="I100" s="260"/>
      <c r="J100" s="260"/>
      <c r="K100" s="260"/>
      <c r="L100" s="260"/>
    </row>
    <row r="101" spans="1:114" hidden="1">
      <c r="A101" s="33"/>
      <c r="B101" s="33"/>
      <c r="C101" s="33"/>
      <c r="D101" s="33"/>
      <c r="E101" s="260"/>
      <c r="F101" s="260"/>
      <c r="G101" s="260"/>
      <c r="H101" s="260"/>
      <c r="I101" s="260"/>
      <c r="J101" s="260"/>
      <c r="K101" s="260"/>
      <c r="L101" s="260"/>
    </row>
    <row r="102" spans="1:114" hidden="1">
      <c r="A102" s="33"/>
      <c r="B102" s="33"/>
      <c r="C102" s="33"/>
      <c r="D102" s="33"/>
      <c r="E102" s="260"/>
      <c r="F102" s="260"/>
      <c r="G102" s="260"/>
      <c r="H102" s="260"/>
      <c r="I102" s="260"/>
      <c r="J102" s="260"/>
      <c r="K102" s="260"/>
      <c r="L102" s="260"/>
    </row>
    <row r="103" spans="1:114" hidden="1">
      <c r="A103" s="260"/>
      <c r="B103" s="260"/>
      <c r="C103" s="260"/>
      <c r="D103" s="260"/>
      <c r="E103" s="260"/>
      <c r="F103" s="260"/>
      <c r="G103" s="260"/>
      <c r="H103" s="260"/>
      <c r="I103" s="260"/>
      <c r="J103" s="260"/>
      <c r="K103" s="260"/>
      <c r="L103" s="260"/>
    </row>
    <row r="104" spans="1:114" hidden="1">
      <c r="A104" s="260"/>
      <c r="B104" s="260"/>
      <c r="C104" s="260"/>
      <c r="D104" s="260"/>
      <c r="E104" s="260"/>
      <c r="F104" s="260"/>
      <c r="G104" s="260"/>
      <c r="H104" s="260"/>
      <c r="I104" s="260"/>
      <c r="J104" s="260"/>
      <c r="K104" s="260"/>
      <c r="L104" s="260"/>
    </row>
    <row r="105" spans="1:114" hidden="1">
      <c r="A105" s="260"/>
      <c r="B105" s="260"/>
      <c r="C105" s="260"/>
      <c r="D105" s="260"/>
      <c r="E105" s="260"/>
      <c r="F105" s="260"/>
      <c r="G105" s="260"/>
      <c r="H105" s="260"/>
      <c r="I105" s="260"/>
      <c r="J105" s="260"/>
      <c r="K105" s="260"/>
      <c r="L105" s="260"/>
    </row>
    <row r="106" spans="1:114" hidden="1">
      <c r="A106" s="260"/>
      <c r="B106" s="260"/>
      <c r="C106" s="260"/>
      <c r="D106" s="260"/>
      <c r="E106" s="260"/>
      <c r="F106" s="260"/>
      <c r="G106" s="260"/>
      <c r="H106" s="260"/>
      <c r="I106" s="260"/>
      <c r="J106" s="260"/>
      <c r="K106" s="260"/>
      <c r="L106" s="260"/>
    </row>
    <row r="107" spans="1:114">
      <c r="A107" s="260"/>
      <c r="B107" s="260"/>
      <c r="C107" s="260"/>
      <c r="D107" s="260"/>
      <c r="E107" s="260"/>
      <c r="F107" s="260"/>
      <c r="G107" s="260"/>
      <c r="H107" s="260"/>
      <c r="I107" s="260"/>
      <c r="J107" s="260"/>
      <c r="K107" s="260"/>
      <c r="L107" s="260"/>
    </row>
    <row r="108" spans="1:114">
      <c r="A108" s="260"/>
      <c r="B108" s="260"/>
      <c r="C108" s="260"/>
      <c r="D108" s="260"/>
      <c r="E108" s="260"/>
      <c r="F108" s="260"/>
      <c r="G108" s="260"/>
      <c r="H108" s="260"/>
      <c r="I108" s="260"/>
      <c r="J108" s="260"/>
      <c r="K108" s="260"/>
      <c r="L108" s="260"/>
    </row>
    <row r="109" spans="1:114">
      <c r="A109" s="260"/>
      <c r="B109" s="260"/>
      <c r="C109" s="260"/>
      <c r="D109" s="260"/>
      <c r="E109" s="260"/>
      <c r="F109" s="260"/>
      <c r="G109" s="260"/>
      <c r="H109" s="260"/>
      <c r="I109" s="260"/>
      <c r="J109" s="260"/>
      <c r="K109" s="260"/>
      <c r="L109" s="260"/>
    </row>
    <row r="110" spans="1:114">
      <c r="A110" s="260"/>
      <c r="B110" s="260"/>
      <c r="C110" s="260"/>
      <c r="D110" s="260"/>
      <c r="E110" s="260"/>
      <c r="F110" s="260"/>
      <c r="G110" s="260"/>
      <c r="H110" s="260"/>
      <c r="I110" s="260"/>
      <c r="J110" s="260"/>
      <c r="K110" s="260"/>
      <c r="L110" s="260"/>
    </row>
    <row r="111" spans="1:114">
      <c r="A111" s="260"/>
      <c r="B111" s="260"/>
      <c r="C111" s="260"/>
      <c r="D111" s="260"/>
      <c r="E111" s="260"/>
      <c r="F111" s="260"/>
      <c r="G111" s="260"/>
      <c r="H111" s="260"/>
      <c r="I111" s="260"/>
      <c r="J111" s="260"/>
      <c r="K111" s="260"/>
      <c r="L111" s="260"/>
    </row>
    <row r="112" spans="1:114">
      <c r="A112" s="260"/>
      <c r="B112" s="260"/>
      <c r="C112" s="260"/>
      <c r="D112" s="260"/>
      <c r="E112" s="260"/>
      <c r="F112" s="260"/>
      <c r="G112" s="260"/>
      <c r="H112" s="260"/>
      <c r="I112" s="260"/>
      <c r="J112" s="260"/>
      <c r="K112" s="260"/>
      <c r="L112" s="260"/>
    </row>
    <row r="113" spans="1:12">
      <c r="A113" s="260"/>
      <c r="B113" s="260"/>
      <c r="C113" s="260"/>
      <c r="D113" s="260"/>
      <c r="E113" s="260"/>
      <c r="F113" s="260"/>
      <c r="G113" s="260"/>
      <c r="H113" s="260"/>
      <c r="I113" s="260"/>
      <c r="J113" s="260"/>
      <c r="K113" s="260"/>
      <c r="L113" s="260"/>
    </row>
    <row r="114" spans="1:12">
      <c r="A114" s="260"/>
      <c r="B114" s="260"/>
      <c r="C114" s="260"/>
      <c r="D114" s="260"/>
      <c r="E114" s="260"/>
      <c r="F114" s="260"/>
      <c r="G114" s="260"/>
      <c r="H114" s="260"/>
      <c r="I114" s="260"/>
      <c r="J114" s="260"/>
      <c r="K114" s="260"/>
      <c r="L114" s="260"/>
    </row>
    <row r="115" spans="1:12">
      <c r="A115" s="260"/>
      <c r="B115" s="260"/>
      <c r="C115" s="260"/>
      <c r="D115" s="260"/>
      <c r="E115" s="260"/>
      <c r="F115" s="260"/>
      <c r="G115" s="260"/>
      <c r="H115" s="260"/>
      <c r="I115" s="260"/>
      <c r="J115" s="260"/>
      <c r="K115" s="260"/>
      <c r="L115" s="260"/>
    </row>
    <row r="116" spans="1:12">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c r="L118" s="260"/>
    </row>
    <row r="119" spans="1:12">
      <c r="A119" s="260"/>
      <c r="B119" s="260"/>
      <c r="C119" s="260"/>
      <c r="D119" s="260"/>
      <c r="E119" s="260"/>
      <c r="F119" s="260"/>
      <c r="G119" s="260"/>
      <c r="H119" s="260"/>
      <c r="I119" s="260"/>
      <c r="J119" s="260"/>
      <c r="K119" s="260"/>
      <c r="L119" s="260"/>
    </row>
    <row r="120" spans="1:12">
      <c r="A120" s="260"/>
      <c r="B120" s="260"/>
      <c r="C120" s="260"/>
      <c r="D120" s="260"/>
      <c r="E120" s="260"/>
      <c r="F120" s="260"/>
      <c r="G120" s="260"/>
      <c r="H120" s="260"/>
      <c r="I120" s="260"/>
      <c r="J120" s="260"/>
      <c r="K120" s="260"/>
      <c r="L120" s="260"/>
    </row>
    <row r="121" spans="1:12">
      <c r="A121" s="260"/>
      <c r="B121" s="260"/>
      <c r="C121" s="260"/>
      <c r="D121" s="260"/>
      <c r="E121" s="260"/>
      <c r="F121" s="260"/>
      <c r="G121" s="260"/>
      <c r="H121" s="260"/>
      <c r="I121" s="260"/>
      <c r="J121" s="260"/>
      <c r="K121" s="260"/>
      <c r="L121" s="260"/>
    </row>
    <row r="122" spans="1:12">
      <c r="A122" s="260"/>
      <c r="B122" s="260"/>
      <c r="C122" s="260"/>
      <c r="D122" s="260"/>
      <c r="E122" s="260"/>
      <c r="F122" s="260"/>
      <c r="G122" s="260"/>
      <c r="H122" s="260"/>
      <c r="I122" s="260"/>
      <c r="J122" s="260"/>
      <c r="K122" s="260"/>
      <c r="L122" s="260"/>
    </row>
    <row r="123" spans="1:12">
      <c r="A123" s="260"/>
      <c r="B123" s="260"/>
      <c r="C123" s="260"/>
      <c r="D123" s="260"/>
      <c r="E123" s="260"/>
      <c r="F123" s="260"/>
      <c r="G123" s="260"/>
      <c r="H123" s="260"/>
      <c r="I123" s="260"/>
      <c r="J123" s="260"/>
      <c r="K123" s="260"/>
      <c r="L123" s="260"/>
    </row>
    <row r="124" spans="1:12">
      <c r="A124" s="260"/>
      <c r="B124" s="260"/>
      <c r="C124" s="260"/>
      <c r="D124" s="260"/>
      <c r="E124" s="260"/>
      <c r="F124" s="260"/>
      <c r="G124" s="260"/>
      <c r="H124" s="260"/>
      <c r="I124" s="260"/>
      <c r="J124" s="260"/>
      <c r="K124" s="260"/>
      <c r="L124" s="260"/>
    </row>
    <row r="125" spans="1:12">
      <c r="A125" s="260"/>
      <c r="B125" s="260"/>
      <c r="C125" s="260"/>
      <c r="D125" s="260"/>
      <c r="E125" s="260"/>
      <c r="F125" s="260"/>
      <c r="G125" s="260"/>
      <c r="H125" s="260"/>
      <c r="I125" s="260"/>
      <c r="J125" s="260"/>
      <c r="K125" s="260"/>
      <c r="L125" s="260"/>
    </row>
    <row r="126" spans="1:12">
      <c r="A126" s="260"/>
      <c r="B126" s="260"/>
      <c r="C126" s="260"/>
      <c r="D126" s="260"/>
      <c r="E126" s="260"/>
      <c r="F126" s="260"/>
      <c r="G126" s="260"/>
      <c r="H126" s="260"/>
      <c r="I126" s="260"/>
      <c r="J126" s="260"/>
      <c r="K126" s="260"/>
    </row>
    <row r="127" spans="1:12">
      <c r="A127" s="260"/>
      <c r="B127" s="260"/>
      <c r="C127" s="260"/>
      <c r="D127" s="260"/>
      <c r="E127" s="260"/>
      <c r="F127" s="260"/>
      <c r="G127" s="260"/>
      <c r="H127" s="260"/>
      <c r="I127" s="260"/>
      <c r="J127" s="260"/>
      <c r="K127" s="260"/>
    </row>
    <row r="128" spans="1:12">
      <c r="A128" s="260"/>
      <c r="B128" s="260"/>
      <c r="C128" s="260"/>
      <c r="D128" s="260"/>
      <c r="I128" s="260"/>
      <c r="J128" s="260"/>
      <c r="K128" s="260"/>
    </row>
    <row r="129" spans="1:11">
      <c r="A129" s="260"/>
      <c r="B129" s="260"/>
      <c r="C129" s="260"/>
      <c r="D129" s="260"/>
      <c r="J129" s="260"/>
      <c r="K129" s="260"/>
    </row>
    <row r="130" spans="1:11">
      <c r="A130" s="260"/>
      <c r="B130" s="260"/>
      <c r="C130" s="260"/>
      <c r="D130" s="260"/>
    </row>
    <row r="131" spans="1:11">
      <c r="A131" s="260"/>
      <c r="B131" s="260"/>
      <c r="C131" s="260"/>
      <c r="D131" s="260"/>
    </row>
    <row r="132" spans="1:11">
      <c r="A132" s="260"/>
      <c r="B132" s="260"/>
      <c r="C132" s="260"/>
      <c r="D132" s="260"/>
    </row>
    <row r="133" spans="1:11">
      <c r="A133" s="260"/>
      <c r="B133" s="260"/>
      <c r="C133" s="260"/>
      <c r="D133" s="260"/>
    </row>
  </sheetData>
  <sheetProtection sheet="1" objects="1" scenarios="1"/>
  <mergeCells count="123">
    <mergeCell ref="L62:S62"/>
    <mergeCell ref="N56:S56"/>
    <mergeCell ref="N57:S57"/>
    <mergeCell ref="N58:S58"/>
    <mergeCell ref="N59:S59"/>
    <mergeCell ref="N61:S61"/>
    <mergeCell ref="I60:J60"/>
    <mergeCell ref="N60:S60"/>
    <mergeCell ref="I55:J55"/>
    <mergeCell ref="I56:J56"/>
    <mergeCell ref="I57:J57"/>
    <mergeCell ref="BP17:BZ17"/>
    <mergeCell ref="CA17:CT17"/>
    <mergeCell ref="A15:D15"/>
    <mergeCell ref="E39:G39"/>
    <mergeCell ref="AJ17:AN17"/>
    <mergeCell ref="AO17:AS17"/>
    <mergeCell ref="AT17:AX17"/>
    <mergeCell ref="AY17:BC17"/>
    <mergeCell ref="X17:AI17"/>
    <mergeCell ref="E20:G20"/>
    <mergeCell ref="E21:G21"/>
    <mergeCell ref="E22:G22"/>
    <mergeCell ref="A16:M16"/>
    <mergeCell ref="I19:M19"/>
    <mergeCell ref="A18:D19"/>
    <mergeCell ref="E38:G38"/>
    <mergeCell ref="BD17:BH17"/>
    <mergeCell ref="BI17:BM17"/>
    <mergeCell ref="E34:G34"/>
    <mergeCell ref="E23:G23"/>
    <mergeCell ref="E24:G24"/>
    <mergeCell ref="E28:G28"/>
    <mergeCell ref="L53:S54"/>
    <mergeCell ref="T56:U56"/>
    <mergeCell ref="E50:G50"/>
    <mergeCell ref="E47:G47"/>
    <mergeCell ref="E48:G48"/>
    <mergeCell ref="E41:G41"/>
    <mergeCell ref="E42:G42"/>
    <mergeCell ref="I53:J53"/>
    <mergeCell ref="I54:J54"/>
    <mergeCell ref="L55:U55"/>
    <mergeCell ref="A2:D8"/>
    <mergeCell ref="E2:Q2"/>
    <mergeCell ref="E26:G26"/>
    <mergeCell ref="E27:G27"/>
    <mergeCell ref="K17:K18"/>
    <mergeCell ref="E7:Q7"/>
    <mergeCell ref="K15:L15"/>
    <mergeCell ref="A14:U14"/>
    <mergeCell ref="N19:O19"/>
    <mergeCell ref="N16:O16"/>
    <mergeCell ref="N17:O17"/>
    <mergeCell ref="N15:O15"/>
    <mergeCell ref="P16:U16"/>
    <mergeCell ref="S19:U19"/>
    <mergeCell ref="I15:J15"/>
    <mergeCell ref="E25:G25"/>
    <mergeCell ref="E15:G15"/>
    <mergeCell ref="I17:J17"/>
    <mergeCell ref="E17:G19"/>
    <mergeCell ref="H18:H19"/>
    <mergeCell ref="L17:L18"/>
    <mergeCell ref="A68:C68"/>
    <mergeCell ref="A53:G53"/>
    <mergeCell ref="A55:G55"/>
    <mergeCell ref="A57:G57"/>
    <mergeCell ref="A61:H61"/>
    <mergeCell ref="A67:C67"/>
    <mergeCell ref="A54:G54"/>
    <mergeCell ref="A66:C66"/>
    <mergeCell ref="A58:G58"/>
    <mergeCell ref="A56:G56"/>
    <mergeCell ref="A59:H59"/>
    <mergeCell ref="CU17:CY17"/>
    <mergeCell ref="CZ17:DD17"/>
    <mergeCell ref="E49:G49"/>
    <mergeCell ref="E3:Q3"/>
    <mergeCell ref="E4:Q4"/>
    <mergeCell ref="E5:Q5"/>
    <mergeCell ref="E6:Q6"/>
    <mergeCell ref="E8:Q8"/>
    <mergeCell ref="E29:G29"/>
    <mergeCell ref="E30:G30"/>
    <mergeCell ref="E31:G31"/>
    <mergeCell ref="E32:G32"/>
    <mergeCell ref="E33:G33"/>
    <mergeCell ref="E44:G44"/>
    <mergeCell ref="E45:G45"/>
    <mergeCell ref="P17:U17"/>
    <mergeCell ref="P19:R19"/>
    <mergeCell ref="M17:M18"/>
    <mergeCell ref="E46:G46"/>
    <mergeCell ref="E35:G35"/>
    <mergeCell ref="E36:G36"/>
    <mergeCell ref="E37:G37"/>
    <mergeCell ref="E43:G43"/>
    <mergeCell ref="E40:G40"/>
    <mergeCell ref="I10:J10"/>
    <mergeCell ref="H65:I65"/>
    <mergeCell ref="H66:I66"/>
    <mergeCell ref="A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I58:J58"/>
    <mergeCell ref="I59:J59"/>
    <mergeCell ref="I61:J61"/>
    <mergeCell ref="I62:J62"/>
  </mergeCells>
  <phoneticPr fontId="4" type="noConversion"/>
  <conditionalFormatting sqref="A20:H20 D21:H42 A21:C50 D43:E43 H43 D44:H50">
    <cfRule type="expression" dxfId="1455" priority="1" stopIfTrue="1">
      <formula>OR($C20="Normal uge 6")</formula>
    </cfRule>
    <cfRule type="expression" dxfId="1454" priority="2">
      <formula>OR($C20="Normal uge 5")</formula>
    </cfRule>
    <cfRule type="expression" dxfId="1453" priority="12" stopIfTrue="1">
      <formula>OR($C20="Rul 6")</formula>
    </cfRule>
    <cfRule type="expression" dxfId="1452" priority="13" stopIfTrue="1">
      <formula>OR($C20="Rul 5")</formula>
    </cfRule>
    <cfRule type="expression" dxfId="1451" priority="14" stopIfTrue="1">
      <formula>OR($C20="Rul 4")</formula>
    </cfRule>
    <cfRule type="expression" dxfId="1450" priority="15" stopIfTrue="1">
      <formula>OR($C20="Rul 3")</formula>
    </cfRule>
    <cfRule type="expression" dxfId="1449" priority="16" stopIfTrue="1">
      <formula>OR($C20="Rul 1")</formula>
    </cfRule>
    <cfRule type="expression" dxfId="1448" priority="22">
      <formula>OR($C20="Normal uge 1")</formula>
    </cfRule>
    <cfRule type="expression" dxfId="1447" priority="110">
      <formula>OR($C20="Orlov")</formula>
    </cfRule>
    <cfRule type="expression" dxfId="1446" priority="111">
      <formula>OR($C20="Normal uge 2")</formula>
    </cfRule>
    <cfRule type="expression" dxfId="1445" priority="112">
      <formula>OR($C20="Normal uge 3")</formula>
    </cfRule>
    <cfRule type="expression" dxfId="1444" priority="113">
      <formula>OR($C20="Normal uge 4")</formula>
    </cfRule>
    <cfRule type="expression" dxfId="1443" priority="128">
      <formula>OR($C20="Ikke relevant")</formula>
    </cfRule>
    <cfRule type="expression" dxfId="1442" priority="129">
      <formula>OR($C20="pæd.dag")</formula>
    </cfRule>
    <cfRule type="expression" dxfId="1441" priority="130">
      <formula>OR($C20="nul-dag")</formula>
    </cfRule>
    <cfRule type="expression" dxfId="1440" priority="131">
      <formula>OR($C20="SH-dag")</formula>
    </cfRule>
    <cfRule type="expression" dxfId="1439" priority="132">
      <formula>OR($C20="ekskursion")</formula>
    </cfRule>
    <cfRule type="expression" dxfId="1438" priority="133">
      <formula>OR($C20="Koloni")</formula>
    </cfRule>
    <cfRule type="expression" dxfId="1437" priority="138" stopIfTrue="1">
      <formula>OR($C20="Rul 2")</formula>
    </cfRule>
    <cfRule type="expression" dxfId="1436" priority="137">
      <formula>OR($C20="weekend")</formula>
    </cfRule>
    <cfRule type="expression" dxfId="1435" priority="136">
      <formula>OR($C20="feriedag")</formula>
    </cfRule>
    <cfRule type="expression" dxfId="1434" priority="135">
      <formula>OR($C20="Ferieåbning")</formula>
    </cfRule>
    <cfRule type="expression" dxfId="1433" priority="134">
      <formula>OR($C20="Anderledes dag")</formula>
    </cfRule>
  </conditionalFormatting>
  <conditionalFormatting sqref="E31">
    <cfRule type="expression" dxfId="1432" priority="145">
      <formula>OR($D30="fagdag")</formula>
    </cfRule>
    <cfRule type="expression" dxfId="1431" priority="149">
      <formula>OR($D30="Ikke relevant")</formula>
    </cfRule>
    <cfRule type="expression" dxfId="1430" priority="148" stopIfTrue="1">
      <formula>OR($D30="skoledag")</formula>
    </cfRule>
    <cfRule type="expression" dxfId="1429" priority="147">
      <formula>OR($D30="weekend")</formula>
    </cfRule>
    <cfRule type="expression" dxfId="1428" priority="146">
      <formula>OR($D30="feriedag")</formula>
    </cfRule>
    <cfRule type="expression" dxfId="1427" priority="139">
      <formula>OR($D30="pæd.dag")</formula>
    </cfRule>
    <cfRule type="expression" dxfId="1426" priority="140">
      <formula>OR($D30="nul-dag")</formula>
    </cfRule>
    <cfRule type="expression" dxfId="1425" priority="141">
      <formula>OR($D30="SH-dag")</formula>
    </cfRule>
    <cfRule type="expression" dxfId="1424" priority="142">
      <formula>OR($D30="ekskursion")</formula>
    </cfRule>
    <cfRule type="expression" dxfId="1423" priority="143">
      <formula>OR($D30="lejrskole")</formula>
    </cfRule>
    <cfRule type="expression" dxfId="1422" priority="144">
      <formula>OR($D30="emnedag")</formula>
    </cfRule>
  </conditionalFormatting>
  <conditionalFormatting sqref="I20:J50">
    <cfRule type="expression" dxfId="1421" priority="72">
      <formula>OR($C20="Koloni",)</formula>
    </cfRule>
    <cfRule type="expression" dxfId="1420" priority="11">
      <formula>OR($C20="Ferieåbning",)</formula>
    </cfRule>
    <cfRule type="expression" dxfId="1419" priority="10">
      <formula>OR($C20="Anderledes dag",)</formula>
    </cfRule>
    <cfRule type="expression" dxfId="1418" priority="9">
      <formula>OR($C20="Ekskursion",)</formula>
    </cfRule>
  </conditionalFormatting>
  <conditionalFormatting sqref="J20:J50">
    <cfRule type="expression" dxfId="1417" priority="73">
      <formula>OR($C20="Pæd.dag",)</formula>
    </cfRule>
  </conditionalFormatting>
  <conditionalFormatting sqref="M20:M50">
    <cfRule type="expression" dxfId="1416" priority="574">
      <formula>OR($H20&gt;"0",)</formula>
    </cfRule>
  </conditionalFormatting>
  <conditionalFormatting sqref="O20:O50">
    <cfRule type="expression" dxfId="1414" priority="5">
      <formula>OR($N20&gt;0,)</formula>
    </cfRule>
  </conditionalFormatting>
  <conditionalFormatting sqref="S20:S50">
    <cfRule type="expression" dxfId="1413" priority="63">
      <formula>OR($P20="X",)</formula>
    </cfRule>
  </conditionalFormatting>
  <conditionalFormatting sqref="T20:T50">
    <cfRule type="expression" dxfId="1412" priority="62">
      <formula>OR($Q20="X",)</formula>
    </cfRule>
  </conditionalFormatting>
  <conditionalFormatting sqref="T57:T61">
    <cfRule type="expression" dxfId="1411" priority="6">
      <formula>OR($L57&gt;0,)</formula>
    </cfRule>
  </conditionalFormatting>
  <conditionalFormatting sqref="U20:U50">
    <cfRule type="expression" dxfId="1410" priority="23">
      <formula>OR($R20="X",)</formula>
    </cfRule>
  </conditionalFormatting>
  <conditionalFormatting sqref="U57:U61">
    <cfRule type="expression" dxfId="1409" priority="7">
      <formula>OR($M57&gt;0,)</formula>
    </cfRule>
  </conditionalFormatting>
  <conditionalFormatting sqref="BN59:BN62 BR63">
    <cfRule type="expression" dxfId="1408" priority="575">
      <formula>OR(#REF!&gt;0,)</formula>
    </cfRule>
  </conditionalFormatting>
  <dataValidations count="2">
    <dataValidation type="list" allowBlank="1" showInputMessage="1" showErrorMessage="1" sqref="R20:R48 L57:M61 P20:Q50" xr:uid="{2F74D57A-A412-BB4D-ABB3-024D4B21666C}">
      <formula1>$Y$1:$Y$2</formula1>
    </dataValidation>
    <dataValidation type="list" allowBlank="1" showInputMessage="1" sqref="C20:C50" xr:uid="{435BE451-1457-E64B-9DDD-B6210538E7BC}">
      <formula1>$A$65:$A$87</formula1>
    </dataValidation>
  </dataValidations>
  <hyperlinks>
    <hyperlink ref="A10:B10" location="'Normal uger'!A11" display="Normale uger" xr:uid="{1057F96B-776C-F84E-AF3C-77F8950B056E}"/>
    <hyperlink ref="C10:D10" location="Rul!B20" display="Rul" xr:uid="{4D4E172B-E57D-1644-AC66-03E4F557FC8B}"/>
    <hyperlink ref="E10:F10" location="Arbejdstidsoversigt!A19" display="Arbejdstids-oversigt" xr:uid="{F031AA67-D3CF-504B-9A50-49D99E9A5A9A}"/>
    <hyperlink ref="G10:H10" location="Opgørelse!B12" display="Opgørelse" xr:uid="{8E35A951-077B-4140-9A72-31A4A3CA894B}"/>
    <hyperlink ref="A11:B11" location="August!A12" display="August" xr:uid="{3C92CBD3-B87D-A048-A26A-0B1008EE9510}"/>
    <hyperlink ref="C11:D11" location="September!A8" display="September" xr:uid="{F3874A13-C9B2-2042-9152-A2BF2AA11824}"/>
    <hyperlink ref="E11:F11" location="Oktober!A8" display="Oktober" xr:uid="{2CC17F43-DDDF-4B46-B91C-BDD00DE0CFDA}"/>
    <hyperlink ref="G11:H11" location="November!A8" display="November" xr:uid="{9542FFCD-D692-204A-A206-2D383DEC5335}"/>
    <hyperlink ref="A12:B12" location="December!A8" display="December" xr:uid="{B255B2B4-A308-394E-A8DD-C12751E383A0}"/>
    <hyperlink ref="C12:D12" location="Januar!A8" display="Januar" xr:uid="{6E090F9C-8D9C-6044-94FB-BFC4EF3AB9E5}"/>
    <hyperlink ref="E12:F12" location="Februar!A8" display="Februar" xr:uid="{FE1F9A0C-5F02-3145-AE8C-04B8CD0524E5}"/>
    <hyperlink ref="A13:B13" location="April!A8" display="April" xr:uid="{02F332DB-7BDE-5849-B371-15BD5EF37467}"/>
    <hyperlink ref="C13:D13" location="Maj!A8" display="Maj" xr:uid="{8AB0396B-0B76-DB4B-817B-2DD6F379FA8F}"/>
    <hyperlink ref="E13:F13" location="Juni!A8" display="Juni" xr:uid="{351C5B65-A198-0A4A-9497-130BDFA1B648}"/>
    <hyperlink ref="G13:H13" location="Juli!A8" display="Juli" xr:uid="{D4305853-3E6E-DE4B-8844-FA3E5824E936}"/>
    <hyperlink ref="G12:H12" location="Marts!A8" display="Marts" xr:uid="{203CF03D-53AD-D14B-AB35-1CAE87B6BA02}"/>
    <hyperlink ref="I10:J10" location="Stamoplysninger!E18" display="Stamoplysninger" xr:uid="{E4642650-715C-D248-B367-6AE811A75650}"/>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D636E674-0FD6-0042-89B5-621D142ABE35}">
            <xm:f>OR(Arbejdstidsoversigt!$H$54="Puljetimer registreres ikke men afvikles jævnt hen over normperioden",)</xm:f>
            <x14:dxf>
              <fill>
                <patternFill>
                  <bgColor theme="1"/>
                </patternFill>
              </fill>
            </x14:dxf>
          </x14:cfRule>
          <xm:sqref>N20:N50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6742-E945-B846-BFBF-983BB0649541}">
  <sheetPr>
    <tabColor theme="4" tint="-0.249977111117893"/>
    <pageSetUpPr fitToPage="1"/>
  </sheetPr>
  <dimension ref="A1:DR126"/>
  <sheetViews>
    <sheetView topLeftCell="A13" zoomScaleNormal="100" workbookViewId="0">
      <selection activeCell="M37" sqref="M37"/>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2" width="10.83203125" hidden="1" customWidth="1"/>
    <col min="123" max="129" width="10.83203125" customWidth="1"/>
  </cols>
  <sheetData>
    <row r="1" spans="1:116" ht="16" customHeight="1" thickBo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7" customHeight="1">
      <c r="A2" s="965">
        <v>9</v>
      </c>
      <c r="B2" s="965"/>
      <c r="C2" s="965"/>
      <c r="D2" s="965"/>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September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August!A17</f>
        <v>2025</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119</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4" si="0">CHOOSE(MOD(WEEKDAY(DATE(A$12,A$2,A15)),7)+1,"lø","sø","ma","ti","on","to","fr",)</f>
        <v>ma</v>
      </c>
      <c r="C15" s="73" t="s">
        <v>217</v>
      </c>
      <c r="D15" s="74">
        <f t="shared" ref="D15:D44" si="1">IF(B15="ma",(DATE(A$12,A$2,A15)-DATE(A$12,1,1)+7)/7,"")</f>
        <v>35.714285714285715</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4" si="2">IF(Q15="x",T15-L15,0)</f>
        <v>0</v>
      </c>
      <c r="X15" s="358">
        <f>IF($C$15="Anderledes dag",$I$15,0)</f>
        <v>0</v>
      </c>
      <c r="Y15" s="358">
        <f>IF(C15="Ferieåbning",I15,0)</f>
        <v>0</v>
      </c>
      <c r="Z15" s="358">
        <f t="shared" ref="Z15:Z44"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4" si="4">SUM(AJ15:AN15)*24</f>
        <v>0</v>
      </c>
      <c r="BP15" s="358">
        <f t="shared" ref="BP15:BP44" si="5">IF(C15="Anderledes dag",J15,0)</f>
        <v>0</v>
      </c>
      <c r="BQ15" s="358">
        <f>IF(C15="Ferieåbning",J15,0)</f>
        <v>0</v>
      </c>
      <c r="BR15" s="358">
        <f t="shared" ref="BR15:BR44" si="6">IF(C15="Pæd.dag",J15,0)</f>
        <v>0</v>
      </c>
      <c r="BS15" s="358">
        <f t="shared" ref="BS15:BS44" si="7">IF(C15="Ekskursion",J15,0)</f>
        <v>0</v>
      </c>
      <c r="BT15" s="358">
        <f t="shared" ref="BT15:BT44" si="8">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4" si="9">IF(AND(E15&gt;0,H15&gt;0),""&amp;E15&amp;" og "&amp;H15&amp;"","")</f>
        <v/>
      </c>
      <c r="DG15">
        <f t="shared" ref="DG15:DG44" si="10">IF(H15="",E15,"")</f>
        <v>0</v>
      </c>
      <c r="DH15">
        <f t="shared" ref="DH15:DH44" si="11">IF(E15="",H15,"")</f>
        <v>0</v>
      </c>
      <c r="DI15" t="str">
        <f t="shared" ref="DI15:DK45" si="12">IF(DF15=0,"",DF15)</f>
        <v/>
      </c>
      <c r="DJ15" t="str">
        <f>IF(DG15=0,"",DG15)</f>
        <v/>
      </c>
      <c r="DK15" t="str">
        <f>IF(DH15=0,"",DH15)</f>
        <v/>
      </c>
      <c r="DL15" t="str">
        <f>DI15&amp;""&amp;DJ15&amp;""&amp;DK15</f>
        <v/>
      </c>
    </row>
    <row r="16" spans="1:116">
      <c r="A16" s="135">
        <f t="shared" ref="A16:A44" si="13">IF(ISNUMBER(A15),A15+1,1)</f>
        <v>2</v>
      </c>
      <c r="B16" s="72" t="str">
        <f t="shared" si="0"/>
        <v>ti</v>
      </c>
      <c r="C16" s="73" t="s">
        <v>217</v>
      </c>
      <c r="D16" s="74" t="str">
        <f t="shared" si="1"/>
        <v/>
      </c>
      <c r="E16" s="858"/>
      <c r="F16" s="859"/>
      <c r="G16" s="860"/>
      <c r="H16" s="175"/>
      <c r="I16" s="221"/>
      <c r="J16" s="221"/>
      <c r="K16" s="191">
        <f t="shared" ref="K16:K44" si="14">BN16</f>
        <v>0</v>
      </c>
      <c r="L16" s="191">
        <f t="shared" ref="L16:L44" si="15">DE16</f>
        <v>0</v>
      </c>
      <c r="M16" s="238"/>
      <c r="N16" s="357"/>
      <c r="O16" s="408"/>
      <c r="P16" s="195"/>
      <c r="Q16" s="196"/>
      <c r="R16" s="196"/>
      <c r="S16" s="192"/>
      <c r="T16" s="255"/>
      <c r="U16" s="193"/>
      <c r="V16">
        <f t="shared" ref="V16:V44" si="16">IF(P16="x",S16-K16,0)</f>
        <v>0</v>
      </c>
      <c r="W16">
        <f t="shared" si="2"/>
        <v>0</v>
      </c>
      <c r="X16" s="358">
        <f t="shared" ref="X16:X44" si="17">IF(C16="Anderledes dag",I16,0)</f>
        <v>0</v>
      </c>
      <c r="Y16" s="358">
        <f t="shared" ref="Y16:Y44" si="18">IF(C16="Ferieåbning",I16,0)</f>
        <v>0</v>
      </c>
      <c r="Z16" s="358">
        <f t="shared" si="3"/>
        <v>0</v>
      </c>
      <c r="AA16" s="358">
        <f t="shared" ref="AA16:AA44" si="19">IF(C16="Ekskursion",I16,0)</f>
        <v>0</v>
      </c>
      <c r="AB16" s="358">
        <f t="shared" ref="AB16:AB44" si="20">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1">SUM(X16:BM16)</f>
        <v>0</v>
      </c>
      <c r="BO16" s="125">
        <f t="shared" si="4"/>
        <v>0</v>
      </c>
      <c r="BP16" s="358">
        <f t="shared" si="5"/>
        <v>0</v>
      </c>
      <c r="BQ16" s="358">
        <f t="shared" ref="BQ16:BQ44" si="22">IF(C16="Ferieåbning",J16,0)</f>
        <v>0</v>
      </c>
      <c r="BR16" s="358">
        <f t="shared" si="6"/>
        <v>0</v>
      </c>
      <c r="BS16" s="358">
        <f t="shared" si="7"/>
        <v>0</v>
      </c>
      <c r="BT16" s="358">
        <f t="shared" si="8"/>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4" si="23">SUM(BP16:DD16)</f>
        <v>0</v>
      </c>
      <c r="DF16" t="str">
        <f t="shared" si="9"/>
        <v/>
      </c>
      <c r="DG16">
        <f t="shared" si="10"/>
        <v>0</v>
      </c>
      <c r="DH16">
        <f t="shared" si="11"/>
        <v>0</v>
      </c>
      <c r="DI16" t="str">
        <f t="shared" si="12"/>
        <v/>
      </c>
      <c r="DJ16" t="str">
        <f t="shared" si="12"/>
        <v/>
      </c>
      <c r="DK16" t="str">
        <f t="shared" si="12"/>
        <v/>
      </c>
      <c r="DL16" t="str">
        <f t="shared" ref="DL16:DL44" si="24">DI16&amp;""&amp;DJ16&amp;""&amp;DK16</f>
        <v/>
      </c>
    </row>
    <row r="17" spans="1:116">
      <c r="A17" s="135">
        <f t="shared" si="13"/>
        <v>3</v>
      </c>
      <c r="B17" s="72" t="str">
        <f t="shared" si="0"/>
        <v>on</v>
      </c>
      <c r="C17" s="73" t="s">
        <v>217</v>
      </c>
      <c r="D17" s="74" t="str">
        <f t="shared" si="1"/>
        <v/>
      </c>
      <c r="E17" s="858"/>
      <c r="F17" s="859"/>
      <c r="G17" s="860"/>
      <c r="H17" s="175"/>
      <c r="I17" s="221"/>
      <c r="J17" s="221"/>
      <c r="K17" s="191">
        <f t="shared" si="14"/>
        <v>0</v>
      </c>
      <c r="L17" s="191">
        <f t="shared" si="15"/>
        <v>0</v>
      </c>
      <c r="M17" s="238"/>
      <c r="N17" s="357"/>
      <c r="O17" s="408"/>
      <c r="P17" s="195"/>
      <c r="Q17" s="196"/>
      <c r="R17" s="196"/>
      <c r="S17" s="192"/>
      <c r="T17" s="255"/>
      <c r="U17" s="193"/>
      <c r="V17">
        <f t="shared" si="16"/>
        <v>0</v>
      </c>
      <c r="W17">
        <f t="shared" si="2"/>
        <v>0</v>
      </c>
      <c r="X17" s="358">
        <f t="shared" si="17"/>
        <v>0</v>
      </c>
      <c r="Y17" s="358">
        <f t="shared" si="18"/>
        <v>0</v>
      </c>
      <c r="Z17" s="358">
        <f t="shared" si="3"/>
        <v>0</v>
      </c>
      <c r="AA17" s="358">
        <f t="shared" si="19"/>
        <v>0</v>
      </c>
      <c r="AB17" s="358">
        <f t="shared" si="20"/>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1"/>
        <v>0</v>
      </c>
      <c r="BO17" s="125">
        <f t="shared" si="4"/>
        <v>0</v>
      </c>
      <c r="BP17" s="358">
        <f t="shared" si="5"/>
        <v>0</v>
      </c>
      <c r="BQ17" s="358">
        <f t="shared" si="22"/>
        <v>0</v>
      </c>
      <c r="BR17" s="358">
        <f t="shared" si="6"/>
        <v>0</v>
      </c>
      <c r="BS17" s="358">
        <f t="shared" si="7"/>
        <v>0</v>
      </c>
      <c r="BT17" s="358">
        <f t="shared" si="8"/>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4</v>
      </c>
      <c r="B18" s="72" t="str">
        <f t="shared" si="0"/>
        <v>to</v>
      </c>
      <c r="C18" s="73" t="s">
        <v>217</v>
      </c>
      <c r="D18" s="74" t="str">
        <f t="shared" si="1"/>
        <v/>
      </c>
      <c r="E18" s="858"/>
      <c r="F18" s="859"/>
      <c r="G18" s="860"/>
      <c r="H18" s="175"/>
      <c r="I18" s="221"/>
      <c r="J18" s="221"/>
      <c r="K18" s="191">
        <f t="shared" si="14"/>
        <v>0</v>
      </c>
      <c r="L18" s="191">
        <f t="shared" si="15"/>
        <v>0</v>
      </c>
      <c r="M18" s="238"/>
      <c r="N18" s="357"/>
      <c r="O18" s="408"/>
      <c r="P18" s="195"/>
      <c r="Q18" s="196"/>
      <c r="R18" s="196"/>
      <c r="S18" s="192"/>
      <c r="T18" s="255"/>
      <c r="U18" s="193"/>
      <c r="V18">
        <f t="shared" si="16"/>
        <v>0</v>
      </c>
      <c r="W18">
        <f t="shared" si="2"/>
        <v>0</v>
      </c>
      <c r="X18" s="358">
        <f t="shared" si="17"/>
        <v>0</v>
      </c>
      <c r="Y18" s="358">
        <f t="shared" si="18"/>
        <v>0</v>
      </c>
      <c r="Z18" s="358">
        <f t="shared" si="3"/>
        <v>0</v>
      </c>
      <c r="AA18" s="358">
        <f t="shared" si="19"/>
        <v>0</v>
      </c>
      <c r="AB18" s="358">
        <f t="shared" si="20"/>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1"/>
        <v>0</v>
      </c>
      <c r="BO18" s="125">
        <f t="shared" si="4"/>
        <v>0</v>
      </c>
      <c r="BP18" s="358">
        <f t="shared" si="5"/>
        <v>0</v>
      </c>
      <c r="BQ18" s="358">
        <f t="shared" si="22"/>
        <v>0</v>
      </c>
      <c r="BR18" s="358">
        <f t="shared" si="6"/>
        <v>0</v>
      </c>
      <c r="BS18" s="358">
        <f t="shared" si="7"/>
        <v>0</v>
      </c>
      <c r="BT18" s="358">
        <f t="shared" si="8"/>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5</v>
      </c>
      <c r="B19" s="72" t="str">
        <f t="shared" si="0"/>
        <v>fr</v>
      </c>
      <c r="C19" s="73" t="s">
        <v>217</v>
      </c>
      <c r="D19" s="74" t="str">
        <f t="shared" si="1"/>
        <v/>
      </c>
      <c r="E19" s="858"/>
      <c r="F19" s="859"/>
      <c r="G19" s="860"/>
      <c r="H19" s="175"/>
      <c r="I19" s="221"/>
      <c r="J19" s="221"/>
      <c r="K19" s="191">
        <f t="shared" si="14"/>
        <v>0</v>
      </c>
      <c r="L19" s="191">
        <f t="shared" si="15"/>
        <v>0</v>
      </c>
      <c r="M19" s="238"/>
      <c r="N19" s="357"/>
      <c r="O19" s="408"/>
      <c r="P19" s="195"/>
      <c r="Q19" s="196"/>
      <c r="R19" s="196"/>
      <c r="S19" s="192"/>
      <c r="T19" s="255"/>
      <c r="U19" s="193"/>
      <c r="V19">
        <f t="shared" si="16"/>
        <v>0</v>
      </c>
      <c r="W19">
        <f t="shared" si="2"/>
        <v>0</v>
      </c>
      <c r="X19" s="358">
        <f t="shared" si="17"/>
        <v>0</v>
      </c>
      <c r="Y19" s="358">
        <f t="shared" si="18"/>
        <v>0</v>
      </c>
      <c r="Z19" s="358">
        <f t="shared" si="3"/>
        <v>0</v>
      </c>
      <c r="AA19" s="358">
        <f t="shared" si="19"/>
        <v>0</v>
      </c>
      <c r="AB19" s="358">
        <f t="shared" si="20"/>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1"/>
        <v>0</v>
      </c>
      <c r="BO19" s="125">
        <f t="shared" si="4"/>
        <v>0</v>
      </c>
      <c r="BP19" s="358">
        <f t="shared" si="5"/>
        <v>0</v>
      </c>
      <c r="BQ19" s="358">
        <f t="shared" si="22"/>
        <v>0</v>
      </c>
      <c r="BR19" s="358">
        <f t="shared" si="6"/>
        <v>0</v>
      </c>
      <c r="BS19" s="358">
        <f t="shared" si="7"/>
        <v>0</v>
      </c>
      <c r="BT19" s="358">
        <f t="shared" si="8"/>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9"/>
        <v/>
      </c>
      <c r="DG19">
        <f t="shared" si="10"/>
        <v>0</v>
      </c>
      <c r="DH19">
        <f t="shared" si="11"/>
        <v>0</v>
      </c>
      <c r="DI19" t="str">
        <f t="shared" si="12"/>
        <v/>
      </c>
      <c r="DJ19" t="str">
        <f t="shared" si="12"/>
        <v/>
      </c>
      <c r="DK19" t="str">
        <f t="shared" si="12"/>
        <v/>
      </c>
      <c r="DL19" t="str">
        <f t="shared" si="24"/>
        <v/>
      </c>
    </row>
    <row r="20" spans="1:116" ht="16" customHeight="1">
      <c r="A20" s="135">
        <f t="shared" si="13"/>
        <v>6</v>
      </c>
      <c r="B20" s="72" t="str">
        <f t="shared" si="0"/>
        <v>lø</v>
      </c>
      <c r="C20" s="73" t="s">
        <v>77</v>
      </c>
      <c r="D20" s="74" t="str">
        <f t="shared" si="1"/>
        <v/>
      </c>
      <c r="E20" s="858"/>
      <c r="F20" s="859"/>
      <c r="G20" s="860"/>
      <c r="H20" s="175"/>
      <c r="I20" s="221"/>
      <c r="J20" s="221"/>
      <c r="K20" s="191">
        <f t="shared" si="14"/>
        <v>0</v>
      </c>
      <c r="L20" s="191">
        <f t="shared" si="15"/>
        <v>0</v>
      </c>
      <c r="M20" s="238"/>
      <c r="N20" s="357"/>
      <c r="O20" s="408"/>
      <c r="P20" s="195"/>
      <c r="Q20" s="196"/>
      <c r="R20" s="196"/>
      <c r="S20" s="192"/>
      <c r="T20" s="255"/>
      <c r="U20" s="193"/>
      <c r="V20">
        <f t="shared" si="16"/>
        <v>0</v>
      </c>
      <c r="W20">
        <f t="shared" si="2"/>
        <v>0</v>
      </c>
      <c r="X20" s="358">
        <f t="shared" si="17"/>
        <v>0</v>
      </c>
      <c r="Y20" s="358">
        <f t="shared" si="18"/>
        <v>0</v>
      </c>
      <c r="Z20" s="358">
        <f t="shared" si="3"/>
        <v>0</v>
      </c>
      <c r="AA20" s="358">
        <f t="shared" si="19"/>
        <v>0</v>
      </c>
      <c r="AB20" s="358">
        <f t="shared" si="20"/>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1"/>
        <v>0</v>
      </c>
      <c r="BO20" s="125">
        <f t="shared" si="4"/>
        <v>0</v>
      </c>
      <c r="BP20" s="358">
        <f t="shared" si="5"/>
        <v>0</v>
      </c>
      <c r="BQ20" s="358">
        <f t="shared" si="22"/>
        <v>0</v>
      </c>
      <c r="BR20" s="358">
        <f t="shared" si="6"/>
        <v>0</v>
      </c>
      <c r="BS20" s="358">
        <f t="shared" si="7"/>
        <v>0</v>
      </c>
      <c r="BT20" s="358">
        <f t="shared" si="8"/>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9"/>
        <v/>
      </c>
      <c r="DG20">
        <f t="shared" si="10"/>
        <v>0</v>
      </c>
      <c r="DH20">
        <f t="shared" si="11"/>
        <v>0</v>
      </c>
      <c r="DI20" t="str">
        <f t="shared" si="12"/>
        <v/>
      </c>
      <c r="DJ20" t="str">
        <f t="shared" si="12"/>
        <v/>
      </c>
      <c r="DK20" t="str">
        <f t="shared" si="12"/>
        <v/>
      </c>
      <c r="DL20" t="str">
        <f t="shared" si="24"/>
        <v/>
      </c>
    </row>
    <row r="21" spans="1:116" ht="16" customHeight="1">
      <c r="A21" s="135">
        <f t="shared" si="13"/>
        <v>7</v>
      </c>
      <c r="B21" s="72" t="str">
        <f t="shared" si="0"/>
        <v>sø</v>
      </c>
      <c r="C21" s="73" t="s">
        <v>77</v>
      </c>
      <c r="D21" s="74" t="str">
        <f t="shared" si="1"/>
        <v/>
      </c>
      <c r="E21" s="858"/>
      <c r="F21" s="859"/>
      <c r="G21" s="860"/>
      <c r="H21" s="175"/>
      <c r="I21" s="221"/>
      <c r="J21" s="221"/>
      <c r="K21" s="191">
        <f t="shared" si="14"/>
        <v>0</v>
      </c>
      <c r="L21" s="191">
        <f t="shared" si="15"/>
        <v>0</v>
      </c>
      <c r="M21" s="238"/>
      <c r="N21" s="357"/>
      <c r="O21" s="408"/>
      <c r="P21" s="195"/>
      <c r="Q21" s="196"/>
      <c r="R21" s="196"/>
      <c r="S21" s="192"/>
      <c r="T21" s="255"/>
      <c r="U21" s="193"/>
      <c r="V21">
        <f t="shared" si="16"/>
        <v>0</v>
      </c>
      <c r="W21">
        <f t="shared" si="2"/>
        <v>0</v>
      </c>
      <c r="X21" s="358">
        <f t="shared" si="17"/>
        <v>0</v>
      </c>
      <c r="Y21" s="358">
        <f t="shared" si="18"/>
        <v>0</v>
      </c>
      <c r="Z21" s="358">
        <f t="shared" si="3"/>
        <v>0</v>
      </c>
      <c r="AA21" s="358">
        <f t="shared" si="19"/>
        <v>0</v>
      </c>
      <c r="AB21" s="358">
        <f t="shared" si="20"/>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1"/>
        <v>0</v>
      </c>
      <c r="BO21" s="125">
        <f t="shared" si="4"/>
        <v>0</v>
      </c>
      <c r="BP21" s="358">
        <f t="shared" si="5"/>
        <v>0</v>
      </c>
      <c r="BQ21" s="358">
        <f t="shared" si="22"/>
        <v>0</v>
      </c>
      <c r="BR21" s="358">
        <f t="shared" si="6"/>
        <v>0</v>
      </c>
      <c r="BS21" s="358">
        <f t="shared" si="7"/>
        <v>0</v>
      </c>
      <c r="BT21" s="358">
        <f t="shared" si="8"/>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 t="shared" si="13"/>
        <v>8</v>
      </c>
      <c r="B22" s="72" t="str">
        <f t="shared" si="0"/>
        <v>ma</v>
      </c>
      <c r="C22" s="73" t="s">
        <v>217</v>
      </c>
      <c r="D22" s="74">
        <f t="shared" si="1"/>
        <v>36.714285714285715</v>
      </c>
      <c r="E22" s="858"/>
      <c r="F22" s="859"/>
      <c r="G22" s="860"/>
      <c r="H22" s="175"/>
      <c r="I22" s="221"/>
      <c r="J22" s="221"/>
      <c r="K22" s="191">
        <f t="shared" si="14"/>
        <v>0</v>
      </c>
      <c r="L22" s="191">
        <f t="shared" si="15"/>
        <v>0</v>
      </c>
      <c r="M22" s="238"/>
      <c r="N22" s="357"/>
      <c r="O22" s="408"/>
      <c r="P22" s="195"/>
      <c r="Q22" s="196"/>
      <c r="R22" s="196"/>
      <c r="S22" s="192"/>
      <c r="T22" s="255"/>
      <c r="U22" s="193"/>
      <c r="V22">
        <f t="shared" si="16"/>
        <v>0</v>
      </c>
      <c r="W22">
        <f t="shared" si="2"/>
        <v>0</v>
      </c>
      <c r="X22" s="358">
        <f t="shared" si="17"/>
        <v>0</v>
      </c>
      <c r="Y22" s="358">
        <f t="shared" si="18"/>
        <v>0</v>
      </c>
      <c r="Z22" s="358">
        <f t="shared" si="3"/>
        <v>0</v>
      </c>
      <c r="AA22" s="358">
        <f t="shared" si="19"/>
        <v>0</v>
      </c>
      <c r="AB22" s="358">
        <f t="shared" si="20"/>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1"/>
        <v>0</v>
      </c>
      <c r="BO22" s="125">
        <f t="shared" si="4"/>
        <v>0</v>
      </c>
      <c r="BP22" s="358">
        <f t="shared" si="5"/>
        <v>0</v>
      </c>
      <c r="BQ22" s="358">
        <f t="shared" si="22"/>
        <v>0</v>
      </c>
      <c r="BR22" s="358">
        <f t="shared" si="6"/>
        <v>0</v>
      </c>
      <c r="BS22" s="358">
        <f t="shared" si="7"/>
        <v>0</v>
      </c>
      <c r="BT22" s="358">
        <f t="shared" si="8"/>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9</v>
      </c>
      <c r="B23" s="72" t="str">
        <f t="shared" si="0"/>
        <v>ti</v>
      </c>
      <c r="C23" s="73" t="s">
        <v>217</v>
      </c>
      <c r="D23" s="74" t="str">
        <f t="shared" si="1"/>
        <v/>
      </c>
      <c r="E23" s="858"/>
      <c r="F23" s="859"/>
      <c r="G23" s="860"/>
      <c r="H23" s="175"/>
      <c r="I23" s="221"/>
      <c r="J23" s="221"/>
      <c r="K23" s="191">
        <f t="shared" si="14"/>
        <v>0</v>
      </c>
      <c r="L23" s="191">
        <f t="shared" si="15"/>
        <v>0</v>
      </c>
      <c r="M23" s="238"/>
      <c r="N23" s="357"/>
      <c r="O23" s="408"/>
      <c r="P23" s="195"/>
      <c r="Q23" s="196"/>
      <c r="R23" s="196"/>
      <c r="S23" s="192"/>
      <c r="T23" s="255"/>
      <c r="U23" s="193"/>
      <c r="V23">
        <f t="shared" si="16"/>
        <v>0</v>
      </c>
      <c r="W23">
        <f t="shared" si="2"/>
        <v>0</v>
      </c>
      <c r="X23" s="358">
        <f t="shared" si="17"/>
        <v>0</v>
      </c>
      <c r="Y23" s="358">
        <f t="shared" si="18"/>
        <v>0</v>
      </c>
      <c r="Z23" s="358">
        <f t="shared" si="3"/>
        <v>0</v>
      </c>
      <c r="AA23" s="358">
        <f t="shared" si="19"/>
        <v>0</v>
      </c>
      <c r="AB23" s="358">
        <f t="shared" si="20"/>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1"/>
        <v>0</v>
      </c>
      <c r="BO23" s="125">
        <f t="shared" si="4"/>
        <v>0</v>
      </c>
      <c r="BP23" s="358">
        <f t="shared" si="5"/>
        <v>0</v>
      </c>
      <c r="BQ23" s="358">
        <f t="shared" si="22"/>
        <v>0</v>
      </c>
      <c r="BR23" s="358">
        <f t="shared" si="6"/>
        <v>0</v>
      </c>
      <c r="BS23" s="358">
        <f t="shared" si="7"/>
        <v>0</v>
      </c>
      <c r="BT23" s="358">
        <f t="shared" si="8"/>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10</v>
      </c>
      <c r="B24" s="72" t="str">
        <f t="shared" si="0"/>
        <v>on</v>
      </c>
      <c r="C24" s="73" t="s">
        <v>217</v>
      </c>
      <c r="D24" s="74" t="str">
        <f t="shared" si="1"/>
        <v/>
      </c>
      <c r="E24" s="858"/>
      <c r="F24" s="859"/>
      <c r="G24" s="860"/>
      <c r="H24" s="175"/>
      <c r="I24" s="221"/>
      <c r="J24" s="221"/>
      <c r="K24" s="191">
        <f t="shared" si="14"/>
        <v>0</v>
      </c>
      <c r="L24" s="191">
        <f t="shared" si="15"/>
        <v>0</v>
      </c>
      <c r="M24" s="238"/>
      <c r="N24" s="357"/>
      <c r="O24" s="408"/>
      <c r="P24" s="195"/>
      <c r="Q24" s="196"/>
      <c r="R24" s="196"/>
      <c r="S24" s="192"/>
      <c r="T24" s="255"/>
      <c r="U24" s="193"/>
      <c r="V24">
        <f t="shared" si="16"/>
        <v>0</v>
      </c>
      <c r="W24">
        <f t="shared" si="2"/>
        <v>0</v>
      </c>
      <c r="X24" s="358">
        <f t="shared" si="17"/>
        <v>0</v>
      </c>
      <c r="Y24" s="358">
        <f t="shared" si="18"/>
        <v>0</v>
      </c>
      <c r="Z24" s="358">
        <f t="shared" si="3"/>
        <v>0</v>
      </c>
      <c r="AA24" s="358">
        <f t="shared" si="19"/>
        <v>0</v>
      </c>
      <c r="AB24" s="358">
        <f t="shared" si="20"/>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1"/>
        <v>0</v>
      </c>
      <c r="BO24" s="125">
        <f t="shared" si="4"/>
        <v>0</v>
      </c>
      <c r="BP24" s="358">
        <f t="shared" si="5"/>
        <v>0</v>
      </c>
      <c r="BQ24" s="358">
        <f t="shared" si="22"/>
        <v>0</v>
      </c>
      <c r="BR24" s="358">
        <f t="shared" si="6"/>
        <v>0</v>
      </c>
      <c r="BS24" s="358">
        <f t="shared" si="7"/>
        <v>0</v>
      </c>
      <c r="BT24" s="358">
        <f t="shared" si="8"/>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 t="shared" si="13"/>
        <v>11</v>
      </c>
      <c r="B25" s="72" t="str">
        <f t="shared" si="0"/>
        <v>to</v>
      </c>
      <c r="C25" s="73" t="s">
        <v>217</v>
      </c>
      <c r="D25" s="74" t="str">
        <f t="shared" si="1"/>
        <v/>
      </c>
      <c r="E25" s="858"/>
      <c r="F25" s="859"/>
      <c r="G25" s="860"/>
      <c r="H25" s="175"/>
      <c r="I25" s="221"/>
      <c r="J25" s="221"/>
      <c r="K25" s="191">
        <f t="shared" si="14"/>
        <v>0</v>
      </c>
      <c r="L25" s="191">
        <f t="shared" si="15"/>
        <v>0</v>
      </c>
      <c r="M25" s="238"/>
      <c r="N25" s="357"/>
      <c r="O25" s="408"/>
      <c r="P25" s="195"/>
      <c r="Q25" s="196"/>
      <c r="R25" s="196"/>
      <c r="S25" s="192"/>
      <c r="T25" s="255"/>
      <c r="U25" s="193"/>
      <c r="V25">
        <f t="shared" si="16"/>
        <v>0</v>
      </c>
      <c r="W25">
        <f t="shared" si="2"/>
        <v>0</v>
      </c>
      <c r="X25" s="358">
        <f t="shared" si="17"/>
        <v>0</v>
      </c>
      <c r="Y25" s="358">
        <f t="shared" si="18"/>
        <v>0</v>
      </c>
      <c r="Z25" s="358">
        <f t="shared" si="3"/>
        <v>0</v>
      </c>
      <c r="AA25" s="358">
        <f t="shared" si="19"/>
        <v>0</v>
      </c>
      <c r="AB25" s="358">
        <f t="shared" si="20"/>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1"/>
        <v>0</v>
      </c>
      <c r="BO25" s="125">
        <f t="shared" si="4"/>
        <v>0</v>
      </c>
      <c r="BP25" s="358">
        <f t="shared" si="5"/>
        <v>0</v>
      </c>
      <c r="BQ25" s="358">
        <f t="shared" si="22"/>
        <v>0</v>
      </c>
      <c r="BR25" s="358">
        <f t="shared" si="6"/>
        <v>0</v>
      </c>
      <c r="BS25" s="358">
        <f t="shared" si="7"/>
        <v>0</v>
      </c>
      <c r="BT25" s="358">
        <f t="shared" si="8"/>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IF(ISNUMBER(A25),A25+1,1)</f>
        <v>12</v>
      </c>
      <c r="B26" s="72" t="str">
        <f t="shared" si="0"/>
        <v>fr</v>
      </c>
      <c r="C26" s="73" t="s">
        <v>217</v>
      </c>
      <c r="D26" s="74" t="str">
        <f t="shared" si="1"/>
        <v/>
      </c>
      <c r="E26" s="858"/>
      <c r="F26" s="859"/>
      <c r="G26" s="860"/>
      <c r="H26" s="175"/>
      <c r="I26" s="221"/>
      <c r="J26" s="221"/>
      <c r="K26" s="191">
        <f t="shared" si="14"/>
        <v>0</v>
      </c>
      <c r="L26" s="191">
        <f t="shared" si="15"/>
        <v>0</v>
      </c>
      <c r="M26" s="238"/>
      <c r="N26" s="357"/>
      <c r="O26" s="408"/>
      <c r="P26" s="195"/>
      <c r="Q26" s="196"/>
      <c r="R26" s="196"/>
      <c r="S26" s="192"/>
      <c r="T26" s="255"/>
      <c r="U26" s="193"/>
      <c r="V26">
        <f t="shared" si="16"/>
        <v>0</v>
      </c>
      <c r="W26">
        <f t="shared" si="2"/>
        <v>0</v>
      </c>
      <c r="X26" s="358">
        <f t="shared" si="17"/>
        <v>0</v>
      </c>
      <c r="Y26" s="358">
        <f t="shared" si="18"/>
        <v>0</v>
      </c>
      <c r="Z26" s="358">
        <f t="shared" si="3"/>
        <v>0</v>
      </c>
      <c r="AA26" s="358">
        <f t="shared" si="19"/>
        <v>0</v>
      </c>
      <c r="AB26" s="358">
        <f t="shared" si="20"/>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1"/>
        <v>0</v>
      </c>
      <c r="BO26" s="125">
        <f t="shared" si="4"/>
        <v>0</v>
      </c>
      <c r="BP26" s="358">
        <f t="shared" si="5"/>
        <v>0</v>
      </c>
      <c r="BQ26" s="358">
        <f t="shared" si="22"/>
        <v>0</v>
      </c>
      <c r="BR26" s="358">
        <f t="shared" si="6"/>
        <v>0</v>
      </c>
      <c r="BS26" s="358">
        <f t="shared" si="7"/>
        <v>0</v>
      </c>
      <c r="BT26" s="358">
        <f t="shared" si="8"/>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IF(ISNUMBER(A26),A26+1,1)</f>
        <v>13</v>
      </c>
      <c r="B27" s="72" t="str">
        <f t="shared" si="0"/>
        <v>lø</v>
      </c>
      <c r="C27" s="73" t="s">
        <v>77</v>
      </c>
      <c r="D27" s="74" t="str">
        <f t="shared" si="1"/>
        <v/>
      </c>
      <c r="E27" s="861"/>
      <c r="F27" s="862"/>
      <c r="G27" s="863"/>
      <c r="H27" s="174"/>
      <c r="I27" s="221"/>
      <c r="J27" s="221"/>
      <c r="K27" s="191">
        <f t="shared" si="14"/>
        <v>0</v>
      </c>
      <c r="L27" s="191">
        <f t="shared" si="15"/>
        <v>0</v>
      </c>
      <c r="M27" s="238"/>
      <c r="N27" s="357"/>
      <c r="O27" s="408"/>
      <c r="P27" s="195"/>
      <c r="Q27" s="196"/>
      <c r="R27" s="196"/>
      <c r="S27" s="192"/>
      <c r="T27" s="255"/>
      <c r="U27" s="193"/>
      <c r="V27">
        <f t="shared" si="16"/>
        <v>0</v>
      </c>
      <c r="W27">
        <f t="shared" si="2"/>
        <v>0</v>
      </c>
      <c r="X27" s="358">
        <f t="shared" si="17"/>
        <v>0</v>
      </c>
      <c r="Y27" s="358">
        <f t="shared" si="18"/>
        <v>0</v>
      </c>
      <c r="Z27" s="358">
        <f t="shared" si="3"/>
        <v>0</v>
      </c>
      <c r="AA27" s="358">
        <f t="shared" si="19"/>
        <v>0</v>
      </c>
      <c r="AB27" s="358">
        <f t="shared" si="20"/>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1"/>
        <v>0</v>
      </c>
      <c r="BO27" s="125">
        <f t="shared" si="4"/>
        <v>0</v>
      </c>
      <c r="BP27" s="358">
        <f t="shared" si="5"/>
        <v>0</v>
      </c>
      <c r="BQ27" s="358">
        <f t="shared" si="22"/>
        <v>0</v>
      </c>
      <c r="BR27" s="358">
        <f t="shared" si="6"/>
        <v>0</v>
      </c>
      <c r="BS27" s="358">
        <f t="shared" si="7"/>
        <v>0</v>
      </c>
      <c r="BT27" s="358">
        <f t="shared" si="8"/>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14</v>
      </c>
      <c r="B28" s="72" t="str">
        <f t="shared" si="0"/>
        <v>sø</v>
      </c>
      <c r="C28" s="73" t="s">
        <v>77</v>
      </c>
      <c r="D28" s="74" t="str">
        <f t="shared" si="1"/>
        <v/>
      </c>
      <c r="E28" s="861"/>
      <c r="F28" s="862"/>
      <c r="G28" s="863"/>
      <c r="H28" s="174"/>
      <c r="I28" s="221"/>
      <c r="J28" s="221"/>
      <c r="K28" s="191">
        <f t="shared" si="14"/>
        <v>0</v>
      </c>
      <c r="L28" s="191">
        <f t="shared" si="15"/>
        <v>0</v>
      </c>
      <c r="M28" s="238"/>
      <c r="N28" s="357"/>
      <c r="O28" s="408"/>
      <c r="P28" s="195"/>
      <c r="Q28" s="196"/>
      <c r="R28" s="196"/>
      <c r="S28" s="192"/>
      <c r="T28" s="255"/>
      <c r="U28" s="193"/>
      <c r="V28">
        <f t="shared" si="16"/>
        <v>0</v>
      </c>
      <c r="W28">
        <f t="shared" si="2"/>
        <v>0</v>
      </c>
      <c r="X28" s="358">
        <f t="shared" si="17"/>
        <v>0</v>
      </c>
      <c r="Y28" s="358">
        <f t="shared" si="18"/>
        <v>0</v>
      </c>
      <c r="Z28" s="358">
        <f t="shared" si="3"/>
        <v>0</v>
      </c>
      <c r="AA28" s="358">
        <f t="shared" si="19"/>
        <v>0</v>
      </c>
      <c r="AB28" s="358">
        <f t="shared" si="20"/>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1"/>
        <v>0</v>
      </c>
      <c r="BO28" s="125">
        <f t="shared" si="4"/>
        <v>0</v>
      </c>
      <c r="BP28" s="358">
        <f t="shared" si="5"/>
        <v>0</v>
      </c>
      <c r="BQ28" s="358">
        <f t="shared" si="22"/>
        <v>0</v>
      </c>
      <c r="BR28" s="358">
        <f t="shared" si="6"/>
        <v>0</v>
      </c>
      <c r="BS28" s="358">
        <f t="shared" si="7"/>
        <v>0</v>
      </c>
      <c r="BT28" s="358">
        <f t="shared" si="8"/>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15</v>
      </c>
      <c r="B29" s="72" t="str">
        <f t="shared" si="0"/>
        <v>ma</v>
      </c>
      <c r="C29" s="73" t="s">
        <v>217</v>
      </c>
      <c r="D29" s="74">
        <f t="shared" si="1"/>
        <v>37.714285714285715</v>
      </c>
      <c r="E29" s="861"/>
      <c r="F29" s="862"/>
      <c r="G29" s="863"/>
      <c r="H29" s="174"/>
      <c r="I29" s="221"/>
      <c r="J29" s="221"/>
      <c r="K29" s="191">
        <f t="shared" si="14"/>
        <v>0</v>
      </c>
      <c r="L29" s="191">
        <f t="shared" si="15"/>
        <v>0</v>
      </c>
      <c r="M29" s="238"/>
      <c r="N29" s="357"/>
      <c r="O29" s="408"/>
      <c r="P29" s="195"/>
      <c r="Q29" s="196"/>
      <c r="R29" s="196"/>
      <c r="S29" s="192"/>
      <c r="T29" s="255"/>
      <c r="U29" s="193"/>
      <c r="V29">
        <f t="shared" si="16"/>
        <v>0</v>
      </c>
      <c r="W29">
        <f t="shared" si="2"/>
        <v>0</v>
      </c>
      <c r="X29" s="358">
        <f t="shared" si="17"/>
        <v>0</v>
      </c>
      <c r="Y29" s="358">
        <f t="shared" si="18"/>
        <v>0</v>
      </c>
      <c r="Z29" s="358">
        <f t="shared" si="3"/>
        <v>0</v>
      </c>
      <c r="AA29" s="358">
        <f t="shared" si="19"/>
        <v>0</v>
      </c>
      <c r="AB29" s="358">
        <f t="shared" si="20"/>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1"/>
        <v>0</v>
      </c>
      <c r="BO29" s="125">
        <f t="shared" si="4"/>
        <v>0</v>
      </c>
      <c r="BP29" s="358">
        <f t="shared" si="5"/>
        <v>0</v>
      </c>
      <c r="BQ29" s="358">
        <f t="shared" si="22"/>
        <v>0</v>
      </c>
      <c r="BR29" s="358">
        <f t="shared" si="6"/>
        <v>0</v>
      </c>
      <c r="BS29" s="358">
        <f t="shared" si="7"/>
        <v>0</v>
      </c>
      <c r="BT29" s="358">
        <f t="shared" si="8"/>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IF(ISNUMBER(A29),A29+1,1)</f>
        <v>16</v>
      </c>
      <c r="B30" s="72" t="str">
        <f t="shared" si="0"/>
        <v>ti</v>
      </c>
      <c r="C30" s="73" t="s">
        <v>217</v>
      </c>
      <c r="D30" s="74" t="str">
        <f t="shared" si="1"/>
        <v/>
      </c>
      <c r="E30" s="858"/>
      <c r="F30" s="859"/>
      <c r="G30" s="860"/>
      <c r="H30" s="175"/>
      <c r="I30" s="221"/>
      <c r="J30" s="221"/>
      <c r="K30" s="191">
        <f t="shared" si="14"/>
        <v>0</v>
      </c>
      <c r="L30" s="191">
        <f t="shared" si="15"/>
        <v>0</v>
      </c>
      <c r="M30" s="238"/>
      <c r="N30" s="357"/>
      <c r="O30" s="408"/>
      <c r="P30" s="195"/>
      <c r="Q30" s="196"/>
      <c r="R30" s="196"/>
      <c r="S30" s="192"/>
      <c r="T30" s="255"/>
      <c r="U30" s="193"/>
      <c r="V30">
        <f t="shared" si="16"/>
        <v>0</v>
      </c>
      <c r="W30">
        <f t="shared" si="2"/>
        <v>0</v>
      </c>
      <c r="X30" s="358">
        <f t="shared" si="17"/>
        <v>0</v>
      </c>
      <c r="Y30" s="358">
        <f t="shared" si="18"/>
        <v>0</v>
      </c>
      <c r="Z30" s="358">
        <f t="shared" si="3"/>
        <v>0</v>
      </c>
      <c r="AA30" s="358">
        <f t="shared" si="19"/>
        <v>0</v>
      </c>
      <c r="AB30" s="358">
        <f t="shared" si="20"/>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1"/>
        <v>0</v>
      </c>
      <c r="BO30" s="125">
        <f t="shared" si="4"/>
        <v>0</v>
      </c>
      <c r="BP30" s="358">
        <f t="shared" si="5"/>
        <v>0</v>
      </c>
      <c r="BQ30" s="358">
        <f t="shared" si="22"/>
        <v>0</v>
      </c>
      <c r="BR30" s="358">
        <f t="shared" si="6"/>
        <v>0</v>
      </c>
      <c r="BS30" s="358">
        <f t="shared" si="7"/>
        <v>0</v>
      </c>
      <c r="BT30" s="358">
        <f t="shared" si="8"/>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17</v>
      </c>
      <c r="B31" s="72" t="str">
        <f t="shared" si="0"/>
        <v>on</v>
      </c>
      <c r="C31" s="73" t="s">
        <v>217</v>
      </c>
      <c r="D31" s="74" t="str">
        <f t="shared" si="1"/>
        <v/>
      </c>
      <c r="E31" s="858"/>
      <c r="F31" s="859"/>
      <c r="G31" s="860"/>
      <c r="H31" s="175"/>
      <c r="I31" s="221"/>
      <c r="J31" s="221"/>
      <c r="K31" s="191">
        <f t="shared" si="14"/>
        <v>0</v>
      </c>
      <c r="L31" s="191">
        <f t="shared" si="15"/>
        <v>0</v>
      </c>
      <c r="M31" s="238"/>
      <c r="N31" s="357"/>
      <c r="O31" s="408"/>
      <c r="P31" s="195"/>
      <c r="Q31" s="196"/>
      <c r="R31" s="196"/>
      <c r="S31" s="192"/>
      <c r="T31" s="255"/>
      <c r="U31" s="193"/>
      <c r="V31">
        <f t="shared" si="16"/>
        <v>0</v>
      </c>
      <c r="W31">
        <f t="shared" si="2"/>
        <v>0</v>
      </c>
      <c r="X31" s="358">
        <f t="shared" si="17"/>
        <v>0</v>
      </c>
      <c r="Y31" s="358">
        <f t="shared" si="18"/>
        <v>0</v>
      </c>
      <c r="Z31" s="358">
        <f t="shared" si="3"/>
        <v>0</v>
      </c>
      <c r="AA31" s="358">
        <f t="shared" si="19"/>
        <v>0</v>
      </c>
      <c r="AB31" s="358">
        <f t="shared" si="20"/>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1"/>
        <v>0</v>
      </c>
      <c r="BO31" s="125">
        <f t="shared" si="4"/>
        <v>0</v>
      </c>
      <c r="BP31" s="358">
        <f t="shared" si="5"/>
        <v>0</v>
      </c>
      <c r="BQ31" s="358">
        <f t="shared" si="22"/>
        <v>0</v>
      </c>
      <c r="BR31" s="358">
        <f t="shared" si="6"/>
        <v>0</v>
      </c>
      <c r="BS31" s="358">
        <f t="shared" si="7"/>
        <v>0</v>
      </c>
      <c r="BT31" s="358">
        <f t="shared" si="8"/>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18</v>
      </c>
      <c r="B32" s="72" t="str">
        <f t="shared" si="0"/>
        <v>to</v>
      </c>
      <c r="C32" s="73" t="s">
        <v>217</v>
      </c>
      <c r="D32" s="74" t="str">
        <f t="shared" si="1"/>
        <v/>
      </c>
      <c r="E32" s="858"/>
      <c r="F32" s="859"/>
      <c r="G32" s="860"/>
      <c r="H32" s="175"/>
      <c r="I32" s="221"/>
      <c r="J32" s="221"/>
      <c r="K32" s="191">
        <f t="shared" si="14"/>
        <v>0</v>
      </c>
      <c r="L32" s="191">
        <f t="shared" si="15"/>
        <v>0</v>
      </c>
      <c r="M32" s="238"/>
      <c r="N32" s="357"/>
      <c r="O32" s="408"/>
      <c r="P32" s="195"/>
      <c r="Q32" s="196"/>
      <c r="R32" s="196"/>
      <c r="S32" s="192"/>
      <c r="T32" s="255"/>
      <c r="U32" s="193"/>
      <c r="V32">
        <f t="shared" si="16"/>
        <v>0</v>
      </c>
      <c r="W32">
        <f t="shared" si="2"/>
        <v>0</v>
      </c>
      <c r="X32" s="358">
        <f t="shared" si="17"/>
        <v>0</v>
      </c>
      <c r="Y32" s="358">
        <f t="shared" si="18"/>
        <v>0</v>
      </c>
      <c r="Z32" s="358">
        <f t="shared" si="3"/>
        <v>0</v>
      </c>
      <c r="AA32" s="358">
        <f t="shared" si="19"/>
        <v>0</v>
      </c>
      <c r="AB32" s="358">
        <f t="shared" si="20"/>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1"/>
        <v>0</v>
      </c>
      <c r="BO32" s="125">
        <f t="shared" si="4"/>
        <v>0</v>
      </c>
      <c r="BP32" s="358">
        <f t="shared" si="5"/>
        <v>0</v>
      </c>
      <c r="BQ32" s="358">
        <f t="shared" si="22"/>
        <v>0</v>
      </c>
      <c r="BR32" s="358">
        <f t="shared" si="6"/>
        <v>0</v>
      </c>
      <c r="BS32" s="358">
        <f t="shared" si="7"/>
        <v>0</v>
      </c>
      <c r="BT32" s="358">
        <f t="shared" si="8"/>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19</v>
      </c>
      <c r="B33" s="72" t="str">
        <f t="shared" si="0"/>
        <v>fr</v>
      </c>
      <c r="C33" s="73" t="s">
        <v>217</v>
      </c>
      <c r="D33" s="74" t="str">
        <f t="shared" si="1"/>
        <v/>
      </c>
      <c r="E33" s="858"/>
      <c r="F33" s="859"/>
      <c r="G33" s="860"/>
      <c r="H33" s="175"/>
      <c r="I33" s="221"/>
      <c r="J33" s="221"/>
      <c r="K33" s="191">
        <f t="shared" si="14"/>
        <v>0</v>
      </c>
      <c r="L33" s="191">
        <f t="shared" si="15"/>
        <v>0</v>
      </c>
      <c r="M33" s="238"/>
      <c r="N33" s="357"/>
      <c r="O33" s="408"/>
      <c r="P33" s="195"/>
      <c r="Q33" s="196"/>
      <c r="R33" s="196"/>
      <c r="S33" s="192"/>
      <c r="T33" s="255"/>
      <c r="U33" s="193"/>
      <c r="V33">
        <f t="shared" si="16"/>
        <v>0</v>
      </c>
      <c r="W33">
        <f t="shared" si="2"/>
        <v>0</v>
      </c>
      <c r="X33" s="358">
        <f t="shared" si="17"/>
        <v>0</v>
      </c>
      <c r="Y33" s="358">
        <f t="shared" si="18"/>
        <v>0</v>
      </c>
      <c r="Z33" s="358">
        <f t="shared" si="3"/>
        <v>0</v>
      </c>
      <c r="AA33" s="358">
        <f t="shared" si="19"/>
        <v>0</v>
      </c>
      <c r="AB33" s="358">
        <f t="shared" si="20"/>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1"/>
        <v>0</v>
      </c>
      <c r="BO33" s="125">
        <f t="shared" si="4"/>
        <v>0</v>
      </c>
      <c r="BP33" s="358">
        <f t="shared" si="5"/>
        <v>0</v>
      </c>
      <c r="BQ33" s="358">
        <f t="shared" si="22"/>
        <v>0</v>
      </c>
      <c r="BR33" s="358">
        <f t="shared" si="6"/>
        <v>0</v>
      </c>
      <c r="BS33" s="358">
        <f t="shared" si="7"/>
        <v>0</v>
      </c>
      <c r="BT33" s="358">
        <f t="shared" si="8"/>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20</v>
      </c>
      <c r="B34" s="72" t="str">
        <f t="shared" si="0"/>
        <v>lø</v>
      </c>
      <c r="C34" s="73" t="s">
        <v>77</v>
      </c>
      <c r="D34" s="74" t="str">
        <f t="shared" si="1"/>
        <v/>
      </c>
      <c r="E34" s="858"/>
      <c r="F34" s="859"/>
      <c r="G34" s="860"/>
      <c r="H34" s="175"/>
      <c r="I34" s="221"/>
      <c r="J34" s="221"/>
      <c r="K34" s="191">
        <f t="shared" si="14"/>
        <v>0</v>
      </c>
      <c r="L34" s="191">
        <f t="shared" si="15"/>
        <v>0</v>
      </c>
      <c r="M34" s="238"/>
      <c r="N34" s="357"/>
      <c r="O34" s="408"/>
      <c r="P34" s="195"/>
      <c r="Q34" s="196"/>
      <c r="R34" s="196"/>
      <c r="S34" s="192"/>
      <c r="T34" s="255"/>
      <c r="U34" s="193"/>
      <c r="V34">
        <f t="shared" si="16"/>
        <v>0</v>
      </c>
      <c r="W34">
        <f t="shared" si="2"/>
        <v>0</v>
      </c>
      <c r="X34" s="358">
        <f t="shared" si="17"/>
        <v>0</v>
      </c>
      <c r="Y34" s="358">
        <f t="shared" si="18"/>
        <v>0</v>
      </c>
      <c r="Z34" s="358">
        <f t="shared" si="3"/>
        <v>0</v>
      </c>
      <c r="AA34" s="358">
        <f t="shared" si="19"/>
        <v>0</v>
      </c>
      <c r="AB34" s="358">
        <f t="shared" si="20"/>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1"/>
        <v>0</v>
      </c>
      <c r="BO34" s="125">
        <f t="shared" si="4"/>
        <v>0</v>
      </c>
      <c r="BP34" s="358">
        <f t="shared" si="5"/>
        <v>0</v>
      </c>
      <c r="BQ34" s="358">
        <f t="shared" si="22"/>
        <v>0</v>
      </c>
      <c r="BR34" s="358">
        <f t="shared" si="6"/>
        <v>0</v>
      </c>
      <c r="BS34" s="358">
        <f t="shared" si="7"/>
        <v>0</v>
      </c>
      <c r="BT34" s="358">
        <f t="shared" si="8"/>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21</v>
      </c>
      <c r="B35" s="72" t="str">
        <f t="shared" si="0"/>
        <v>sø</v>
      </c>
      <c r="C35" s="73" t="s">
        <v>77</v>
      </c>
      <c r="D35" s="74" t="str">
        <f t="shared" si="1"/>
        <v/>
      </c>
      <c r="E35" s="858"/>
      <c r="F35" s="859"/>
      <c r="G35" s="860"/>
      <c r="H35" s="175"/>
      <c r="I35" s="221"/>
      <c r="J35" s="221"/>
      <c r="K35" s="191">
        <f t="shared" si="14"/>
        <v>0</v>
      </c>
      <c r="L35" s="191">
        <f t="shared" si="15"/>
        <v>0</v>
      </c>
      <c r="M35" s="238"/>
      <c r="N35" s="357"/>
      <c r="O35" s="408"/>
      <c r="P35" s="195"/>
      <c r="Q35" s="196"/>
      <c r="R35" s="196"/>
      <c r="S35" s="192"/>
      <c r="T35" s="255"/>
      <c r="U35" s="193"/>
      <c r="V35">
        <f t="shared" si="16"/>
        <v>0</v>
      </c>
      <c r="W35">
        <f t="shared" si="2"/>
        <v>0</v>
      </c>
      <c r="X35" s="358">
        <f t="shared" si="17"/>
        <v>0</v>
      </c>
      <c r="Y35" s="358">
        <f t="shared" si="18"/>
        <v>0</v>
      </c>
      <c r="Z35" s="358">
        <f t="shared" si="3"/>
        <v>0</v>
      </c>
      <c r="AA35" s="358">
        <f t="shared" si="19"/>
        <v>0</v>
      </c>
      <c r="AB35" s="358">
        <f t="shared" si="20"/>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1"/>
        <v>0</v>
      </c>
      <c r="BO35" s="125">
        <f t="shared" si="4"/>
        <v>0</v>
      </c>
      <c r="BP35" s="358">
        <f t="shared" si="5"/>
        <v>0</v>
      </c>
      <c r="BQ35" s="358">
        <f t="shared" si="22"/>
        <v>0</v>
      </c>
      <c r="BR35" s="358">
        <f t="shared" si="6"/>
        <v>0</v>
      </c>
      <c r="BS35" s="358">
        <f t="shared" si="7"/>
        <v>0</v>
      </c>
      <c r="BT35" s="358">
        <f t="shared" si="8"/>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22</v>
      </c>
      <c r="B36" s="72" t="str">
        <f t="shared" si="0"/>
        <v>ma</v>
      </c>
      <c r="C36" s="73" t="s">
        <v>217</v>
      </c>
      <c r="D36" s="74">
        <f t="shared" si="1"/>
        <v>38.714285714285715</v>
      </c>
      <c r="E36" s="858"/>
      <c r="F36" s="859"/>
      <c r="G36" s="860"/>
      <c r="H36" s="175"/>
      <c r="I36" s="221"/>
      <c r="J36" s="221"/>
      <c r="K36" s="191">
        <f t="shared" si="14"/>
        <v>0</v>
      </c>
      <c r="L36" s="191">
        <f t="shared" si="15"/>
        <v>0</v>
      </c>
      <c r="M36" s="238"/>
      <c r="N36" s="357"/>
      <c r="O36" s="408"/>
      <c r="P36" s="195"/>
      <c r="Q36" s="196"/>
      <c r="R36" s="196"/>
      <c r="S36" s="192"/>
      <c r="T36" s="255"/>
      <c r="U36" s="193"/>
      <c r="V36">
        <f t="shared" si="16"/>
        <v>0</v>
      </c>
      <c r="W36">
        <f t="shared" si="2"/>
        <v>0</v>
      </c>
      <c r="X36" s="358">
        <f t="shared" si="17"/>
        <v>0</v>
      </c>
      <c r="Y36" s="358">
        <f t="shared" si="18"/>
        <v>0</v>
      </c>
      <c r="Z36" s="358">
        <f t="shared" si="3"/>
        <v>0</v>
      </c>
      <c r="AA36" s="358">
        <f t="shared" si="19"/>
        <v>0</v>
      </c>
      <c r="AB36" s="358">
        <f t="shared" si="20"/>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1"/>
        <v>0</v>
      </c>
      <c r="BO36" s="125">
        <f t="shared" si="4"/>
        <v>0</v>
      </c>
      <c r="BP36" s="358">
        <f t="shared" si="5"/>
        <v>0</v>
      </c>
      <c r="BQ36" s="358">
        <f t="shared" si="22"/>
        <v>0</v>
      </c>
      <c r="BR36" s="358">
        <f t="shared" si="6"/>
        <v>0</v>
      </c>
      <c r="BS36" s="358">
        <f t="shared" si="7"/>
        <v>0</v>
      </c>
      <c r="BT36" s="358">
        <f t="shared" si="8"/>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23</v>
      </c>
      <c r="B37" s="72" t="str">
        <f t="shared" si="0"/>
        <v>ti</v>
      </c>
      <c r="C37" s="73" t="s">
        <v>217</v>
      </c>
      <c r="D37" s="74" t="str">
        <f t="shared" si="1"/>
        <v/>
      </c>
      <c r="E37" s="858"/>
      <c r="F37" s="859"/>
      <c r="G37" s="860"/>
      <c r="H37" s="175"/>
      <c r="I37" s="221"/>
      <c r="J37" s="221"/>
      <c r="K37" s="191">
        <f t="shared" si="14"/>
        <v>0</v>
      </c>
      <c r="L37" s="191">
        <f t="shared" si="15"/>
        <v>0</v>
      </c>
      <c r="M37" s="238"/>
      <c r="N37" s="357"/>
      <c r="O37" s="408"/>
      <c r="P37" s="195"/>
      <c r="Q37" s="196"/>
      <c r="R37" s="196"/>
      <c r="S37" s="192"/>
      <c r="T37" s="255"/>
      <c r="U37" s="193"/>
      <c r="V37">
        <f t="shared" si="16"/>
        <v>0</v>
      </c>
      <c r="W37">
        <f t="shared" si="2"/>
        <v>0</v>
      </c>
      <c r="X37" s="358">
        <f t="shared" si="17"/>
        <v>0</v>
      </c>
      <c r="Y37" s="358">
        <f t="shared" si="18"/>
        <v>0</v>
      </c>
      <c r="Z37" s="358">
        <f t="shared" si="3"/>
        <v>0</v>
      </c>
      <c r="AA37" s="358">
        <f t="shared" si="19"/>
        <v>0</v>
      </c>
      <c r="AB37" s="358">
        <f t="shared" si="20"/>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1"/>
        <v>0</v>
      </c>
      <c r="BO37" s="125">
        <f t="shared" si="4"/>
        <v>0</v>
      </c>
      <c r="BP37" s="358">
        <f t="shared" si="5"/>
        <v>0</v>
      </c>
      <c r="BQ37" s="358">
        <f t="shared" si="22"/>
        <v>0</v>
      </c>
      <c r="BR37" s="358">
        <f t="shared" si="6"/>
        <v>0</v>
      </c>
      <c r="BS37" s="358">
        <f t="shared" si="7"/>
        <v>0</v>
      </c>
      <c r="BT37" s="358">
        <f t="shared" si="8"/>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 t="shared" si="13"/>
        <v>24</v>
      </c>
      <c r="B38" s="72" t="str">
        <f t="shared" si="0"/>
        <v>on</v>
      </c>
      <c r="C38" s="73" t="s">
        <v>217</v>
      </c>
      <c r="D38" s="74" t="str">
        <f t="shared" si="1"/>
        <v/>
      </c>
      <c r="E38" s="861"/>
      <c r="F38" s="862"/>
      <c r="G38" s="863"/>
      <c r="H38" s="175"/>
      <c r="I38" s="221"/>
      <c r="J38" s="221"/>
      <c r="K38" s="191">
        <f t="shared" si="14"/>
        <v>0</v>
      </c>
      <c r="L38" s="191">
        <f t="shared" si="15"/>
        <v>0</v>
      </c>
      <c r="M38" s="238"/>
      <c r="N38" s="357"/>
      <c r="O38" s="408"/>
      <c r="P38" s="195"/>
      <c r="Q38" s="196"/>
      <c r="R38" s="196"/>
      <c r="S38" s="192"/>
      <c r="T38" s="255"/>
      <c r="U38" s="193"/>
      <c r="V38">
        <f t="shared" si="16"/>
        <v>0</v>
      </c>
      <c r="W38">
        <f t="shared" si="2"/>
        <v>0</v>
      </c>
      <c r="X38" s="358">
        <f t="shared" si="17"/>
        <v>0</v>
      </c>
      <c r="Y38" s="358">
        <f>IF(C38="Ferieåbning",I38,0)</f>
        <v>0</v>
      </c>
      <c r="Z38" s="358">
        <f t="shared" si="3"/>
        <v>0</v>
      </c>
      <c r="AA38" s="358">
        <f t="shared" si="19"/>
        <v>0</v>
      </c>
      <c r="AB38" s="358">
        <f t="shared" si="20"/>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1"/>
        <v>0</v>
      </c>
      <c r="BO38" s="125">
        <f t="shared" si="4"/>
        <v>0</v>
      </c>
      <c r="BP38" s="358">
        <f t="shared" si="5"/>
        <v>0</v>
      </c>
      <c r="BQ38" s="358">
        <f t="shared" si="22"/>
        <v>0</v>
      </c>
      <c r="BR38" s="358">
        <f t="shared" si="6"/>
        <v>0</v>
      </c>
      <c r="BS38" s="358">
        <f t="shared" si="7"/>
        <v>0</v>
      </c>
      <c r="BT38" s="358">
        <f t="shared" si="8"/>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25</v>
      </c>
      <c r="B39" s="72" t="str">
        <f t="shared" si="0"/>
        <v>to</v>
      </c>
      <c r="C39" s="73" t="s">
        <v>217</v>
      </c>
      <c r="D39" s="74" t="str">
        <f t="shared" si="1"/>
        <v/>
      </c>
      <c r="E39" s="858"/>
      <c r="F39" s="859"/>
      <c r="G39" s="860"/>
      <c r="H39" s="175"/>
      <c r="I39" s="221"/>
      <c r="J39" s="221"/>
      <c r="K39" s="191">
        <f t="shared" si="14"/>
        <v>0</v>
      </c>
      <c r="L39" s="191">
        <f t="shared" si="15"/>
        <v>0</v>
      </c>
      <c r="M39" s="238"/>
      <c r="N39" s="357"/>
      <c r="O39" s="408"/>
      <c r="P39" s="195"/>
      <c r="Q39" s="196"/>
      <c r="R39" s="196"/>
      <c r="S39" s="192"/>
      <c r="T39" s="255"/>
      <c r="U39" s="193"/>
      <c r="V39">
        <f t="shared" si="16"/>
        <v>0</v>
      </c>
      <c r="W39">
        <f t="shared" si="2"/>
        <v>0</v>
      </c>
      <c r="X39" s="358">
        <f t="shared" si="17"/>
        <v>0</v>
      </c>
      <c r="Y39" s="358">
        <f t="shared" si="18"/>
        <v>0</v>
      </c>
      <c r="Z39" s="358">
        <f t="shared" si="3"/>
        <v>0</v>
      </c>
      <c r="AA39" s="358">
        <f t="shared" si="19"/>
        <v>0</v>
      </c>
      <c r="AB39" s="358">
        <f t="shared" si="20"/>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1"/>
        <v>0</v>
      </c>
      <c r="BO39" s="125">
        <f t="shared" si="4"/>
        <v>0</v>
      </c>
      <c r="BP39" s="358">
        <f t="shared" si="5"/>
        <v>0</v>
      </c>
      <c r="BQ39" s="358">
        <f t="shared" si="22"/>
        <v>0</v>
      </c>
      <c r="BR39" s="358">
        <f t="shared" si="6"/>
        <v>0</v>
      </c>
      <c r="BS39" s="358">
        <f t="shared" si="7"/>
        <v>0</v>
      </c>
      <c r="BT39" s="358">
        <f t="shared" si="8"/>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 t="shared" si="13"/>
        <v>26</v>
      </c>
      <c r="B40" s="72" t="str">
        <f t="shared" si="0"/>
        <v>fr</v>
      </c>
      <c r="C40" s="73" t="s">
        <v>217</v>
      </c>
      <c r="D40" s="74" t="str">
        <f t="shared" si="1"/>
        <v/>
      </c>
      <c r="E40" s="858"/>
      <c r="F40" s="859"/>
      <c r="G40" s="860"/>
      <c r="H40" s="175"/>
      <c r="I40" s="221"/>
      <c r="J40" s="221"/>
      <c r="K40" s="191">
        <f t="shared" si="14"/>
        <v>0</v>
      </c>
      <c r="L40" s="191">
        <f t="shared" si="15"/>
        <v>0</v>
      </c>
      <c r="M40" s="238"/>
      <c r="N40" s="357"/>
      <c r="O40" s="408"/>
      <c r="P40" s="195"/>
      <c r="Q40" s="196"/>
      <c r="R40" s="196"/>
      <c r="S40" s="192"/>
      <c r="T40" s="255"/>
      <c r="U40" s="193"/>
      <c r="V40">
        <f t="shared" si="16"/>
        <v>0</v>
      </c>
      <c r="W40">
        <f t="shared" si="2"/>
        <v>0</v>
      </c>
      <c r="X40" s="358">
        <f t="shared" si="17"/>
        <v>0</v>
      </c>
      <c r="Y40" s="358">
        <f t="shared" si="18"/>
        <v>0</v>
      </c>
      <c r="Z40" s="358">
        <f t="shared" si="3"/>
        <v>0</v>
      </c>
      <c r="AA40" s="358">
        <f t="shared" si="19"/>
        <v>0</v>
      </c>
      <c r="AB40" s="358">
        <f t="shared" si="20"/>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1"/>
        <v>0</v>
      </c>
      <c r="BO40" s="125">
        <f t="shared" si="4"/>
        <v>0</v>
      </c>
      <c r="BP40" s="358">
        <f t="shared" si="5"/>
        <v>0</v>
      </c>
      <c r="BQ40" s="358">
        <f t="shared" si="22"/>
        <v>0</v>
      </c>
      <c r="BR40" s="358">
        <f t="shared" si="6"/>
        <v>0</v>
      </c>
      <c r="BS40" s="358">
        <f t="shared" si="7"/>
        <v>0</v>
      </c>
      <c r="BT40" s="358">
        <f t="shared" si="8"/>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9"/>
        <v/>
      </c>
      <c r="DG40">
        <f t="shared" si="10"/>
        <v>0</v>
      </c>
      <c r="DH40">
        <f t="shared" si="11"/>
        <v>0</v>
      </c>
      <c r="DI40" t="str">
        <f t="shared" si="12"/>
        <v/>
      </c>
      <c r="DJ40" t="str">
        <f t="shared" si="12"/>
        <v/>
      </c>
      <c r="DK40" t="str">
        <f t="shared" si="12"/>
        <v/>
      </c>
      <c r="DL40" t="str">
        <f t="shared" si="24"/>
        <v/>
      </c>
    </row>
    <row r="41" spans="1:116">
      <c r="A41" s="135">
        <f t="shared" si="13"/>
        <v>27</v>
      </c>
      <c r="B41" s="72" t="str">
        <f t="shared" si="0"/>
        <v>lø</v>
      </c>
      <c r="C41" s="73" t="s">
        <v>77</v>
      </c>
      <c r="D41" s="74" t="str">
        <f t="shared" si="1"/>
        <v/>
      </c>
      <c r="E41" s="858"/>
      <c r="F41" s="859"/>
      <c r="G41" s="860"/>
      <c r="H41" s="175"/>
      <c r="I41" s="221"/>
      <c r="J41" s="221"/>
      <c r="K41" s="191">
        <f t="shared" si="14"/>
        <v>0</v>
      </c>
      <c r="L41" s="191">
        <f t="shared" si="15"/>
        <v>0</v>
      </c>
      <c r="M41" s="238"/>
      <c r="N41" s="357"/>
      <c r="O41" s="408"/>
      <c r="P41" s="195"/>
      <c r="Q41" s="196"/>
      <c r="R41" s="196"/>
      <c r="S41" s="192"/>
      <c r="T41" s="255"/>
      <c r="U41" s="193"/>
      <c r="V41">
        <f t="shared" si="16"/>
        <v>0</v>
      </c>
      <c r="W41">
        <f t="shared" si="2"/>
        <v>0</v>
      </c>
      <c r="X41" s="358">
        <f t="shared" si="17"/>
        <v>0</v>
      </c>
      <c r="Y41" s="358">
        <f t="shared" si="18"/>
        <v>0</v>
      </c>
      <c r="Z41" s="358">
        <f t="shared" si="3"/>
        <v>0</v>
      </c>
      <c r="AA41" s="358">
        <f t="shared" si="19"/>
        <v>0</v>
      </c>
      <c r="AB41" s="358">
        <f t="shared" si="20"/>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1"/>
        <v>0</v>
      </c>
      <c r="BO41" s="125">
        <f t="shared" si="4"/>
        <v>0</v>
      </c>
      <c r="BP41" s="358">
        <f t="shared" si="5"/>
        <v>0</v>
      </c>
      <c r="BQ41" s="358">
        <f t="shared" si="22"/>
        <v>0</v>
      </c>
      <c r="BR41" s="358">
        <f t="shared" si="6"/>
        <v>0</v>
      </c>
      <c r="BS41" s="358">
        <f t="shared" si="7"/>
        <v>0</v>
      </c>
      <c r="BT41" s="358">
        <f t="shared" si="8"/>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9"/>
        <v/>
      </c>
      <c r="DG41">
        <f t="shared" si="10"/>
        <v>0</v>
      </c>
      <c r="DH41">
        <f t="shared" si="11"/>
        <v>0</v>
      </c>
      <c r="DI41" t="str">
        <f t="shared" si="12"/>
        <v/>
      </c>
      <c r="DJ41" t="str">
        <f t="shared" si="12"/>
        <v/>
      </c>
      <c r="DK41" t="str">
        <f t="shared" si="12"/>
        <v/>
      </c>
      <c r="DL41" t="str">
        <f t="shared" si="24"/>
        <v/>
      </c>
    </row>
    <row r="42" spans="1:116">
      <c r="A42" s="135">
        <f t="shared" si="13"/>
        <v>28</v>
      </c>
      <c r="B42" s="72" t="str">
        <f t="shared" si="0"/>
        <v>sø</v>
      </c>
      <c r="C42" s="73" t="s">
        <v>77</v>
      </c>
      <c r="D42" s="74" t="str">
        <f t="shared" si="1"/>
        <v/>
      </c>
      <c r="E42" s="858"/>
      <c r="F42" s="859"/>
      <c r="G42" s="860"/>
      <c r="H42" s="175"/>
      <c r="I42" s="221"/>
      <c r="J42" s="221"/>
      <c r="K42" s="191">
        <f t="shared" si="14"/>
        <v>0</v>
      </c>
      <c r="L42" s="191">
        <f t="shared" si="15"/>
        <v>0</v>
      </c>
      <c r="M42" s="238"/>
      <c r="N42" s="357"/>
      <c r="O42" s="408"/>
      <c r="P42" s="195"/>
      <c r="Q42" s="196"/>
      <c r="R42" s="196"/>
      <c r="S42" s="192"/>
      <c r="T42" s="255"/>
      <c r="U42" s="193"/>
      <c r="V42">
        <f t="shared" si="16"/>
        <v>0</v>
      </c>
      <c r="W42">
        <f t="shared" si="2"/>
        <v>0</v>
      </c>
      <c r="X42" s="358">
        <f t="shared" si="17"/>
        <v>0</v>
      </c>
      <c r="Y42" s="358">
        <f t="shared" si="18"/>
        <v>0</v>
      </c>
      <c r="Z42" s="358">
        <f t="shared" si="3"/>
        <v>0</v>
      </c>
      <c r="AA42" s="358">
        <f t="shared" si="19"/>
        <v>0</v>
      </c>
      <c r="AB42" s="358">
        <f t="shared" si="20"/>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1"/>
        <v>0</v>
      </c>
      <c r="BO42" s="125">
        <f t="shared" si="4"/>
        <v>0</v>
      </c>
      <c r="BP42" s="358">
        <f t="shared" si="5"/>
        <v>0</v>
      </c>
      <c r="BQ42" s="358">
        <f t="shared" si="22"/>
        <v>0</v>
      </c>
      <c r="BR42" s="358">
        <f t="shared" si="6"/>
        <v>0</v>
      </c>
      <c r="BS42" s="358">
        <f t="shared" si="7"/>
        <v>0</v>
      </c>
      <c r="BT42" s="358">
        <f t="shared" si="8"/>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9"/>
        <v/>
      </c>
      <c r="DG42">
        <f t="shared" si="10"/>
        <v>0</v>
      </c>
      <c r="DH42">
        <f t="shared" si="11"/>
        <v>0</v>
      </c>
      <c r="DI42" t="str">
        <f t="shared" si="12"/>
        <v/>
      </c>
      <c r="DJ42" t="str">
        <f t="shared" si="12"/>
        <v/>
      </c>
      <c r="DK42" t="str">
        <f t="shared" si="12"/>
        <v/>
      </c>
      <c r="DL42" t="str">
        <f t="shared" si="24"/>
        <v/>
      </c>
    </row>
    <row r="43" spans="1:116">
      <c r="A43" s="135">
        <f>IF(ISNUMBER(A42),A42+1,1)</f>
        <v>29</v>
      </c>
      <c r="B43" s="72" t="str">
        <f t="shared" si="0"/>
        <v>ma</v>
      </c>
      <c r="C43" s="73" t="s">
        <v>217</v>
      </c>
      <c r="D43" s="74">
        <f t="shared" si="1"/>
        <v>39.714285714285715</v>
      </c>
      <c r="E43" s="858"/>
      <c r="F43" s="859"/>
      <c r="G43" s="860"/>
      <c r="H43" s="175"/>
      <c r="I43" s="221"/>
      <c r="J43" s="221"/>
      <c r="K43" s="191">
        <f t="shared" si="14"/>
        <v>0</v>
      </c>
      <c r="L43" s="191">
        <f t="shared" si="15"/>
        <v>0</v>
      </c>
      <c r="M43" s="238"/>
      <c r="N43" s="357"/>
      <c r="O43" s="408"/>
      <c r="P43" s="195"/>
      <c r="Q43" s="196"/>
      <c r="R43" s="196"/>
      <c r="S43" s="192"/>
      <c r="T43" s="255"/>
      <c r="U43" s="193"/>
      <c r="V43">
        <f t="shared" si="16"/>
        <v>0</v>
      </c>
      <c r="W43">
        <f t="shared" si="2"/>
        <v>0</v>
      </c>
      <c r="X43" s="358">
        <f t="shared" si="17"/>
        <v>0</v>
      </c>
      <c r="Y43" s="358">
        <f t="shared" si="18"/>
        <v>0</v>
      </c>
      <c r="Z43" s="358">
        <f t="shared" si="3"/>
        <v>0</v>
      </c>
      <c r="AA43" s="358">
        <f t="shared" si="19"/>
        <v>0</v>
      </c>
      <c r="AB43" s="358">
        <f t="shared" si="20"/>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1"/>
        <v>0</v>
      </c>
      <c r="BO43" s="125">
        <f t="shared" si="4"/>
        <v>0</v>
      </c>
      <c r="BP43" s="358">
        <f t="shared" si="5"/>
        <v>0</v>
      </c>
      <c r="BQ43" s="358">
        <f t="shared" si="22"/>
        <v>0</v>
      </c>
      <c r="BR43" s="358">
        <f t="shared" si="6"/>
        <v>0</v>
      </c>
      <c r="BS43" s="358">
        <f t="shared" si="7"/>
        <v>0</v>
      </c>
      <c r="BT43" s="358">
        <f t="shared" si="8"/>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9"/>
        <v/>
      </c>
      <c r="DG43">
        <f t="shared" si="10"/>
        <v>0</v>
      </c>
      <c r="DH43">
        <f t="shared" si="11"/>
        <v>0</v>
      </c>
      <c r="DI43" t="str">
        <f t="shared" si="12"/>
        <v/>
      </c>
      <c r="DJ43" t="str">
        <f t="shared" si="12"/>
        <v/>
      </c>
      <c r="DK43" t="str">
        <f t="shared" si="12"/>
        <v/>
      </c>
      <c r="DL43" t="str">
        <f t="shared" si="24"/>
        <v/>
      </c>
    </row>
    <row r="44" spans="1:116">
      <c r="A44" s="135">
        <f t="shared" si="13"/>
        <v>30</v>
      </c>
      <c r="B44" s="72" t="str">
        <f t="shared" si="0"/>
        <v>ti</v>
      </c>
      <c r="C44" s="73" t="s">
        <v>217</v>
      </c>
      <c r="D44" s="74" t="str">
        <f t="shared" si="1"/>
        <v/>
      </c>
      <c r="E44" s="858"/>
      <c r="F44" s="859"/>
      <c r="G44" s="860"/>
      <c r="H44" s="175"/>
      <c r="I44" s="221"/>
      <c r="J44" s="221"/>
      <c r="K44" s="191">
        <f t="shared" si="14"/>
        <v>0</v>
      </c>
      <c r="L44" s="191">
        <f t="shared" si="15"/>
        <v>0</v>
      </c>
      <c r="M44" s="238"/>
      <c r="N44" s="357"/>
      <c r="O44" s="408"/>
      <c r="P44" s="195"/>
      <c r="Q44" s="196"/>
      <c r="R44" s="254"/>
      <c r="S44" s="192"/>
      <c r="T44" s="255"/>
      <c r="U44" s="193"/>
      <c r="V44">
        <f t="shared" si="16"/>
        <v>0</v>
      </c>
      <c r="W44">
        <f t="shared" si="2"/>
        <v>0</v>
      </c>
      <c r="X44" s="358">
        <f t="shared" si="17"/>
        <v>0</v>
      </c>
      <c r="Y44" s="358">
        <f t="shared" si="18"/>
        <v>0</v>
      </c>
      <c r="Z44" s="358">
        <f t="shared" si="3"/>
        <v>0</v>
      </c>
      <c r="AA44" s="358">
        <f t="shared" si="19"/>
        <v>0</v>
      </c>
      <c r="AB44" s="358">
        <f t="shared" si="20"/>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1"/>
        <v>0</v>
      </c>
      <c r="BO44" s="125">
        <f t="shared" si="4"/>
        <v>0</v>
      </c>
      <c r="BP44" s="358">
        <f t="shared" si="5"/>
        <v>0</v>
      </c>
      <c r="BQ44" s="358">
        <f t="shared" si="22"/>
        <v>0</v>
      </c>
      <c r="BR44" s="358">
        <f t="shared" si="6"/>
        <v>0</v>
      </c>
      <c r="BS44" s="358">
        <f t="shared" si="7"/>
        <v>0</v>
      </c>
      <c r="BT44" s="358">
        <f t="shared" si="8"/>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9"/>
        <v/>
      </c>
      <c r="DG44">
        <f t="shared" si="10"/>
        <v>0</v>
      </c>
      <c r="DH44">
        <f t="shared" si="11"/>
        <v>0</v>
      </c>
      <c r="DI44" t="str">
        <f t="shared" si="12"/>
        <v/>
      </c>
      <c r="DJ44" t="str">
        <f t="shared" si="12"/>
        <v/>
      </c>
      <c r="DK44" t="str">
        <f t="shared" si="12"/>
        <v/>
      </c>
      <c r="DL44" t="str">
        <f t="shared" si="24"/>
        <v/>
      </c>
    </row>
    <row r="45" spans="1:116" ht="17" thickBot="1">
      <c r="A45" s="368" t="s">
        <v>127</v>
      </c>
      <c r="B45" s="369"/>
      <c r="C45" s="369"/>
      <c r="D45" s="369"/>
      <c r="E45" s="369"/>
      <c r="F45" s="369"/>
      <c r="G45" s="369"/>
      <c r="H45" s="369"/>
      <c r="I45" s="194"/>
      <c r="J45" s="194"/>
      <c r="K45" s="194">
        <f>SUM(K15:K44)</f>
        <v>0</v>
      </c>
      <c r="L45" s="194">
        <f>SUM(L15:L44)</f>
        <v>0</v>
      </c>
      <c r="M45"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f>
        <v>0</v>
      </c>
      <c r="N45" s="628"/>
      <c r="O45" s="412">
        <f>SUM(O15:O44)</f>
        <v>0</v>
      </c>
      <c r="P45" s="249"/>
      <c r="Q45" s="250"/>
      <c r="R45" s="250"/>
      <c r="S45"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f>
        <v>0</v>
      </c>
      <c r="T45"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f>
        <v>0</v>
      </c>
      <c r="U45"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f>
        <v>0</v>
      </c>
      <c r="V45" s="115">
        <f>SUM(V15:V44)</f>
        <v>0</v>
      </c>
      <c r="W45" s="228">
        <f>W15+W16+W17+W18+W19+W20+W21+W22+W23+W24+W25+W26+W27+W28+W29+W30+W31+W32+W33+W34+W35+W36+W37+W38+W39+W40+W41+W42+W43+W44</f>
        <v>0</v>
      </c>
      <c r="X45" s="129">
        <f t="shared" ref="X45:AC45" si="25">SUM(X15:X44)</f>
        <v>0</v>
      </c>
      <c r="Y45" s="129">
        <f t="shared" si="25"/>
        <v>0</v>
      </c>
      <c r="Z45" s="129">
        <f t="shared" si="25"/>
        <v>0</v>
      </c>
      <c r="AA45" s="129">
        <f t="shared" si="25"/>
        <v>0</v>
      </c>
      <c r="AB45" s="129">
        <f t="shared" si="25"/>
        <v>0</v>
      </c>
      <c r="AC45" s="129">
        <f t="shared" si="25"/>
        <v>0</v>
      </c>
      <c r="AD45">
        <f t="shared" ref="AD45" si="26">COUNTIF(AD14:AD44,"&gt;0")</f>
        <v>0</v>
      </c>
      <c r="AE45">
        <f t="shared" ref="AE45" si="27">COUNTIF(AE14:AE44,"&gt;0")</f>
        <v>0</v>
      </c>
      <c r="AF45">
        <f t="shared" ref="AF45" si="28">COUNTIF(AF14:AF44,"&gt;0")</f>
        <v>0</v>
      </c>
      <c r="AG45">
        <f t="shared" ref="AG45" si="29">COUNTIF(AG14:AG44,"&gt;0")</f>
        <v>0</v>
      </c>
      <c r="AH45">
        <f t="shared" ref="AH45" si="30">COUNTIF(AH14:AH44,"&gt;0")</f>
        <v>0</v>
      </c>
      <c r="AI45">
        <f t="shared" ref="AI45" si="31">COUNTIF(AI14:AI44,"&gt;0")</f>
        <v>0</v>
      </c>
      <c r="AJ45">
        <f>COUNTIF(AJ14:AJ44,"&gt;0")</f>
        <v>0</v>
      </c>
      <c r="AK45">
        <f t="shared" ref="AK45:BC45" si="32">COUNTIF(AK14:AK44,"&gt;0")</f>
        <v>0</v>
      </c>
      <c r="AL45">
        <f t="shared" si="32"/>
        <v>0</v>
      </c>
      <c r="AM45">
        <f t="shared" si="32"/>
        <v>0</v>
      </c>
      <c r="AN45">
        <f t="shared" si="32"/>
        <v>0</v>
      </c>
      <c r="AO45">
        <f t="shared" si="32"/>
        <v>0</v>
      </c>
      <c r="AP45">
        <f t="shared" si="32"/>
        <v>0</v>
      </c>
      <c r="AQ45">
        <f t="shared" si="32"/>
        <v>0</v>
      </c>
      <c r="AR45">
        <f t="shared" si="32"/>
        <v>0</v>
      </c>
      <c r="AS45">
        <f t="shared" si="32"/>
        <v>0</v>
      </c>
      <c r="AT45">
        <f t="shared" si="32"/>
        <v>0</v>
      </c>
      <c r="AU45">
        <f t="shared" si="32"/>
        <v>0</v>
      </c>
      <c r="AV45">
        <f t="shared" si="32"/>
        <v>0</v>
      </c>
      <c r="AW45">
        <f t="shared" si="32"/>
        <v>0</v>
      </c>
      <c r="AX45">
        <f t="shared" si="32"/>
        <v>0</v>
      </c>
      <c r="AY45">
        <f t="shared" si="32"/>
        <v>0</v>
      </c>
      <c r="AZ45">
        <f t="shared" si="32"/>
        <v>0</v>
      </c>
      <c r="BA45">
        <f t="shared" si="32"/>
        <v>0</v>
      </c>
      <c r="BB45">
        <f t="shared" si="32"/>
        <v>0</v>
      </c>
      <c r="BC45">
        <f t="shared" si="32"/>
        <v>0</v>
      </c>
      <c r="BD45">
        <f t="shared" ref="BD45:BM45" si="33">COUNTIF(BD15:BD44,"&gt;0")</f>
        <v>0</v>
      </c>
      <c r="BE45">
        <f t="shared" si="33"/>
        <v>0</v>
      </c>
      <c r="BF45">
        <f t="shared" si="33"/>
        <v>0</v>
      </c>
      <c r="BG45">
        <f t="shared" si="33"/>
        <v>0</v>
      </c>
      <c r="BH45">
        <f t="shared" si="33"/>
        <v>0</v>
      </c>
      <c r="BI45">
        <f t="shared" si="33"/>
        <v>0</v>
      </c>
      <c r="BJ45">
        <f t="shared" si="33"/>
        <v>0</v>
      </c>
      <c r="BK45">
        <f t="shared" si="33"/>
        <v>0</v>
      </c>
      <c r="BL45">
        <f t="shared" si="33"/>
        <v>0</v>
      </c>
      <c r="BM45">
        <f t="shared" si="33"/>
        <v>0</v>
      </c>
      <c r="BN45" s="1">
        <f>SUM(BN15:BN44)</f>
        <v>0</v>
      </c>
      <c r="BO45" s="62"/>
      <c r="BP45" s="129">
        <f>SUM(BP15:BP44)</f>
        <v>0</v>
      </c>
      <c r="BQ45" s="129">
        <f>SUM(BQ15:BQ44)</f>
        <v>0</v>
      </c>
      <c r="BR45" s="129">
        <f>SUM(BR15:BR44)</f>
        <v>0</v>
      </c>
      <c r="BS45" s="129">
        <f>SUM(BS15:BS44)</f>
        <v>0</v>
      </c>
      <c r="BT45" s="129">
        <f>SUM(BT15:BT44)</f>
        <v>0</v>
      </c>
      <c r="BU45" s="129"/>
      <c r="BV45" s="129"/>
      <c r="BW45" s="129"/>
      <c r="BX45" s="129"/>
      <c r="BY45" s="129"/>
      <c r="BZ45" s="129"/>
      <c r="CA45">
        <f>COUNTIF(CA14:CA44,"&gt;0")</f>
        <v>0</v>
      </c>
      <c r="CB45">
        <f t="shared" ref="CB45:CT45" si="34">COUNTIF(CB14:CB44,"&gt;0")</f>
        <v>0</v>
      </c>
      <c r="CC45">
        <f t="shared" si="34"/>
        <v>0</v>
      </c>
      <c r="CD45">
        <f t="shared" si="34"/>
        <v>0</v>
      </c>
      <c r="CE45">
        <f t="shared" si="34"/>
        <v>0</v>
      </c>
      <c r="CF45">
        <f t="shared" si="34"/>
        <v>0</v>
      </c>
      <c r="CG45">
        <f t="shared" si="34"/>
        <v>0</v>
      </c>
      <c r="CH45">
        <f t="shared" si="34"/>
        <v>0</v>
      </c>
      <c r="CI45">
        <f t="shared" si="34"/>
        <v>0</v>
      </c>
      <c r="CJ45">
        <f t="shared" si="34"/>
        <v>0</v>
      </c>
      <c r="CK45">
        <f t="shared" si="34"/>
        <v>0</v>
      </c>
      <c r="CL45">
        <f t="shared" si="34"/>
        <v>0</v>
      </c>
      <c r="CM45">
        <f t="shared" si="34"/>
        <v>0</v>
      </c>
      <c r="CN45">
        <f t="shared" si="34"/>
        <v>0</v>
      </c>
      <c r="CO45">
        <f t="shared" si="34"/>
        <v>0</v>
      </c>
      <c r="CP45">
        <f t="shared" si="34"/>
        <v>0</v>
      </c>
      <c r="CQ45">
        <f t="shared" si="34"/>
        <v>0</v>
      </c>
      <c r="CR45">
        <f t="shared" si="34"/>
        <v>0</v>
      </c>
      <c r="CS45">
        <f t="shared" si="34"/>
        <v>0</v>
      </c>
      <c r="CT45">
        <f t="shared" si="34"/>
        <v>0</v>
      </c>
      <c r="CU45">
        <f t="shared" ref="CU45:DD45" si="35">COUNTIF(CU15:CU44,"&gt;0")</f>
        <v>0</v>
      </c>
      <c r="CV45">
        <f t="shared" si="35"/>
        <v>0</v>
      </c>
      <c r="CW45">
        <f t="shared" si="35"/>
        <v>0</v>
      </c>
      <c r="CX45">
        <f t="shared" si="35"/>
        <v>0</v>
      </c>
      <c r="CY45">
        <f t="shared" si="35"/>
        <v>0</v>
      </c>
      <c r="CZ45">
        <f t="shared" si="35"/>
        <v>0</v>
      </c>
      <c r="DA45">
        <f t="shared" si="35"/>
        <v>0</v>
      </c>
      <c r="DB45">
        <f t="shared" si="35"/>
        <v>0</v>
      </c>
      <c r="DC45">
        <f t="shared" si="35"/>
        <v>0</v>
      </c>
      <c r="DD45">
        <f t="shared" si="35"/>
        <v>0</v>
      </c>
      <c r="DE45" s="129">
        <f>SUM(DE15:DE44)</f>
        <v>0</v>
      </c>
      <c r="DJ45" t="str">
        <f t="shared" si="12"/>
        <v/>
      </c>
      <c r="DK45" t="str">
        <f t="shared" si="12"/>
        <v/>
      </c>
      <c r="DL45" t="str">
        <f t="shared" ref="DL45" si="36">DI45&amp;" "&amp;DJ45&amp;" "&amp;DK45</f>
        <v xml:space="preserve">  </v>
      </c>
    </row>
    <row r="46" spans="1:116" ht="17" thickBot="1">
      <c r="A46" s="128"/>
      <c r="B46" s="128"/>
      <c r="C46" s="128"/>
      <c r="D46" s="128"/>
      <c r="E46" s="128"/>
      <c r="F46" s="128"/>
      <c r="G46" s="128"/>
      <c r="H46" s="128"/>
      <c r="I46" s="128"/>
      <c r="J46" s="128"/>
      <c r="K46" s="130"/>
      <c r="L46" s="130"/>
      <c r="M46" s="130"/>
      <c r="N46" s="257"/>
      <c r="O46" s="257"/>
      <c r="P46" s="130"/>
      <c r="Q46" s="130"/>
      <c r="R46" s="130"/>
      <c r="S46" s="130"/>
      <c r="T46" s="130"/>
      <c r="U46" s="130"/>
      <c r="V46" s="130"/>
      <c r="W46" s="130"/>
      <c r="X46" s="130"/>
      <c r="Y46" s="130"/>
      <c r="Z46" s="257"/>
      <c r="AA46" s="137"/>
      <c r="AB46" s="115"/>
      <c r="AC46" s="129"/>
      <c r="AD46" s="115"/>
      <c r="AE46" s="115"/>
      <c r="AF46" s="129"/>
      <c r="AG46" s="129"/>
      <c r="AH46" s="129"/>
      <c r="AI46" s="129"/>
      <c r="AJ46" s="129"/>
      <c r="AK46" s="129"/>
      <c r="AL46" s="129"/>
      <c r="AM46" s="129"/>
      <c r="AN46" s="129"/>
      <c r="AO46" s="129"/>
      <c r="BR46" s="257"/>
      <c r="BS46" s="137"/>
      <c r="BT46" s="137"/>
      <c r="BU46" s="129"/>
      <c r="BV46" s="115"/>
      <c r="BW46" s="129"/>
      <c r="BX46" s="129"/>
      <c r="BY46" s="129"/>
      <c r="BZ46" s="129"/>
      <c r="CA46" s="129">
        <f>IF(OR(CA15&gt;0,AJ15&gt;0),1,0)+IF(OR(CA16&gt;0,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f>
        <v>0</v>
      </c>
      <c r="CB46" s="129">
        <f t="shared" ref="CB46:CC46" si="37">IF(OR(CB15&gt;0,AK15&gt;0),1,0)+IF(OR(CB16&gt;0,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f>
        <v>0</v>
      </c>
      <c r="CC46" s="129">
        <f t="shared" si="37"/>
        <v>0</v>
      </c>
      <c r="CD46" s="129">
        <f>IF(OR(CD15&gt;0,AM15&gt;0),1,0)+IF(OR(CD16&gt;0,AM16&gt;0),1,0)+IF(OR(CD17&gt;0,AM17&gt;0),1,0)+IF(OR(CD18&gt;0,AM18&gt;0),1,0)+IF(OR(CD19&gt;0,AM19&gt;0),1,0)+IF(OR(CD20&gt;0,AM20&gt;0),1,0)+IF(OR(CD21&gt;0,AM21&gt;0),1,0)+IF(OR(CD22&gt;0,AM22&gt;0),1,0)+IF(OR(CD23&gt;0,AM23&gt;0),1,0)+IF(OR(CD24&gt;0,AM24&gt;0),1,0)+IF(OR(CD25&gt;0,AM25&gt;0),1,0)+IF(OR(CD26&gt;0,AM26&gt;0),1,0)+IF(OR(CD27&gt;0,AM27&gt;0),1,0)+IF(OR(CD28&gt;0,AM28&gt;0),1,0)+IF(OR(CD29&gt;0,AM29&gt;0),1,0)+IF(OR(CD30&gt;0,AM30&gt;0),1,0)+IF(OR(CD31&gt;0,AM31&gt;0),1,0)+IF(OR(CD32&gt;0,AM32&gt;0),1,0)+IF(OR(CD33&gt;0,AM33&gt;0),1,0)+IF(OR(CD34&gt;0,AM34&gt;0),1,0)+IF(OR(CD35&gt;0,AM35&gt;0),1,0)+IF(OR(CD36&gt;0,AM36&gt;0),1,0)+IF(OR(CD37&gt;0,AM37&gt;0),1,0)+IF(OR(CD38&gt;0,AM38&gt;0),1,0)+IF(OR(CD39&gt;0,AM39&gt;0),1,0)+IF(OR(CD40&gt;0,AM40&gt;0),1,0)+IF(OR(CD41&gt;0,AM41&gt;0),1,0)+IF(OR(CD42&gt;0,AM42&gt;0),1,0)+IF(OR(CD43&gt;0,AM43&gt;0),1,0)+IF(OR(CD44&gt;0,AM44&gt;0),1,0)</f>
        <v>0</v>
      </c>
      <c r="CE46" s="129">
        <f t="shared" ref="CE46" si="38">IF(OR(CE15&gt;0,AN15&gt;0),1,0)+IF(OR(CE16&gt;0,AN16&gt;0),1,0)+IF(OR(CE17&gt;0,AN17&gt;0),1,0)+IF(OR(CE18&gt;0,AN18&gt;0),1,0)+IF(OR(CE19&gt;0,AN19&gt;0),1,0)+IF(OR(CE20&gt;0,AN20&gt;0),1,0)+IF(OR(CE21&gt;0,AN21&gt;0),1,0)+IF(OR(CE22&gt;0,AN22&gt;0),1,0)+IF(OR(CE23&gt;0,AN23&gt;0),1,0)+IF(OR(CE24&gt;0,AN24&gt;0),1,0)+IF(OR(CE25&gt;0,AN25&gt;0),1,0)+IF(OR(CE26&gt;0,AN26&gt;0),1,0)+IF(OR(CE27&gt;0,AN27&gt;0),1,0)+IF(OR(CE28&gt;0,AN28&gt;0),1,0)+IF(OR(CE29&gt;0,AN29&gt;0),1,0)+IF(OR(CE30&gt;0,AN30&gt;0),1,0)+IF(OR(CE31&gt;0,AN31&gt;0),1,0)+IF(OR(CE32&gt;0,AN32&gt;0),1,0)+IF(OR(CE33&gt;0,AN33&gt;0),1,0)+IF(OR(CE34&gt;0,AN34&gt;0),1,0)+IF(OR(CE35&gt;0,AN35&gt;0),1,0)+IF(OR(CE36&gt;0,AN36&gt;0),1,0)+IF(OR(CE37&gt;0,AN37&gt;0),1,0)+IF(OR(CE38&gt;0,AN38&gt;0),1,0)+IF(OR(CE39&gt;0,AN39&gt;0),1,0)+IF(OR(CE40&gt;0,AN40&gt;0),1,0)+IF(OR(CE41&gt;0,AN41&gt;0),1,0)+IF(OR(CE42&gt;0,AN42&gt;0),1,0)+IF(OR(CE43&gt;0,AN43&gt;0),1,0)+IF(OR(CE44&gt;0,AN44&gt;0),1,0)</f>
        <v>0</v>
      </c>
      <c r="CF46" s="129">
        <f t="shared" ref="CF46" si="39">IF(OR(CF15&gt;0,AO15&gt;0),1,0)+IF(OR(CF16&gt;0,AO16&gt;0),1,0)+IF(OR(CF17&gt;0,AO17&gt;0),1,0)+IF(OR(CF18&gt;0,AO18&gt;0),1,0)+IF(OR(CF19&gt;0,AO19&gt;0),1,0)+IF(OR(CF20&gt;0,AO20&gt;0),1,0)+IF(OR(CF21&gt;0,AO21&gt;0),1,0)+IF(OR(CF22&gt;0,AO22&gt;0),1,0)+IF(OR(CF23&gt;0,AO23&gt;0),1,0)+IF(OR(CF24&gt;0,AO24&gt;0),1,0)+IF(OR(CF25&gt;0,AO25&gt;0),1,0)+IF(OR(CF26&gt;0,AO26&gt;0),1,0)+IF(OR(CF27&gt;0,AO27&gt;0),1,0)+IF(OR(CF28&gt;0,AO28&gt;0),1,0)+IF(OR(CF29&gt;0,AO29&gt;0),1,0)+IF(OR(CF30&gt;0,AO30&gt;0),1,0)+IF(OR(CF31&gt;0,AO31&gt;0),1,0)+IF(OR(CF32&gt;0,AO32&gt;0),1,0)+IF(OR(CF33&gt;0,AO33&gt;0),1,0)+IF(OR(CF34&gt;0,AO34&gt;0),1,0)+IF(OR(CF35&gt;0,AO35&gt;0),1,0)+IF(OR(CF36&gt;0,AO36&gt;0),1,0)+IF(OR(CF37&gt;0,AO37&gt;0),1,0)+IF(OR(CF38&gt;0,AO38&gt;0),1,0)+IF(OR(CF39&gt;0,AO39&gt;0),1,0)+IF(OR(CF40&gt;0,AO40&gt;0),1,0)+IF(OR(CF41&gt;0,AO41&gt;0),1,0)+IF(OR(CF42&gt;0,AO42&gt;0),1,0)+IF(OR(CF43&gt;0,AO43&gt;0),1,0)+IF(OR(CF44&gt;0,AO44&gt;0),1,0)</f>
        <v>0</v>
      </c>
      <c r="CG46" s="129">
        <f t="shared" ref="CG46:CH46" si="40">IF(OR(CG15&gt;0,AP15&gt;0),1,0)+IF(OR(CG16&gt;0,AP16&gt;0),1,0)+IF(OR(CG17&gt;0,AP17&gt;0),1,0)+IF(OR(CG18&gt;0,AP18&gt;0),1,0)+IF(OR(CG19&gt;0,AP19&gt;0),1,0)+IF(OR(CG20&gt;0,AP20&gt;0),1,0)+IF(OR(CG21&gt;0,AP21&gt;0),1,0)+IF(OR(CG22&gt;0,AP22&gt;0),1,0)+IF(OR(CG23&gt;0,AP23&gt;0),1,0)+IF(OR(CG24&gt;0,AP24&gt;0),1,0)+IF(OR(CG25&gt;0,AP25&gt;0),1,0)+IF(OR(CG26&gt;0,AP26&gt;0),1,0)+IF(OR(CG27&gt;0,AP27&gt;0),1,0)+IF(OR(CG28&gt;0,AP28&gt;0),1,0)+IF(OR(CG29&gt;0,AP29&gt;0),1,0)+IF(OR(CG30&gt;0,AP30&gt;0),1,0)+IF(OR(CG31&gt;0,AP31&gt;0),1,0)+IF(OR(CG32&gt;0,AP32&gt;0),1,0)+IF(OR(CG33&gt;0,AP33&gt;0),1,0)+IF(OR(CG34&gt;0,AP34&gt;0),1,0)+IF(OR(CG35&gt;0,AP35&gt;0),1,0)+IF(OR(CG36&gt;0,AP36&gt;0),1,0)+IF(OR(CG37&gt;0,AP37&gt;0),1,0)+IF(OR(CG38&gt;0,AP38&gt;0),1,0)+IF(OR(CG39&gt;0,AP39&gt;0),1,0)+IF(OR(CG40&gt;0,AP40&gt;0),1,0)+IF(OR(CG41&gt;0,AP41&gt;0),1,0)+IF(OR(CG42&gt;0,AP42&gt;0),1,0)+IF(OR(CG43&gt;0,AP43&gt;0),1,0)+IF(OR(CG44&gt;0,AP44&gt;0),1,0)</f>
        <v>0</v>
      </c>
      <c r="CH46" s="129">
        <f t="shared" si="40"/>
        <v>0</v>
      </c>
      <c r="CI46" s="129">
        <f t="shared" ref="CI46" si="41">IF(OR(CI15&gt;0,AR15&gt;0),1,0)+IF(OR(CI16&gt;0,AR16&gt;0),1,0)+IF(OR(CI17&gt;0,AR17&gt;0),1,0)+IF(OR(CI18&gt;0,AR18&gt;0),1,0)+IF(OR(CI19&gt;0,AR19&gt;0),1,0)+IF(OR(CI20&gt;0,AR20&gt;0),1,0)+IF(OR(CI21&gt;0,AR21&gt;0),1,0)+IF(OR(CI22&gt;0,AR22&gt;0),1,0)+IF(OR(CI23&gt;0,AR23&gt;0),1,0)+IF(OR(CI24&gt;0,AR24&gt;0),1,0)+IF(OR(CI25&gt;0,AR25&gt;0),1,0)+IF(OR(CI26&gt;0,AR26&gt;0),1,0)+IF(OR(CI27&gt;0,AR27&gt;0),1,0)+IF(OR(CI28&gt;0,AR28&gt;0),1,0)+IF(OR(CI29&gt;0,AR29&gt;0),1,0)+IF(OR(CI30&gt;0,AR30&gt;0),1,0)+IF(OR(CI31&gt;0,AR31&gt;0),1,0)+IF(OR(CI32&gt;0,AR32&gt;0),1,0)+IF(OR(CI33&gt;0,AR33&gt;0),1,0)+IF(OR(CI34&gt;0,AR34&gt;0),1,0)+IF(OR(CI35&gt;0,AR35&gt;0),1,0)+IF(OR(CI36&gt;0,AR36&gt;0),1,0)+IF(OR(CI37&gt;0,AR37&gt;0),1,0)+IF(OR(CI38&gt;0,AR38&gt;0),1,0)+IF(OR(CI39&gt;0,AR39&gt;0),1,0)+IF(OR(CI40&gt;0,AR40&gt;0),1,0)+IF(OR(CI41&gt;0,AR41&gt;0),1,0)+IF(OR(CI42&gt;0,AR42&gt;0),1,0)+IF(OR(CI43&gt;0,AR43&gt;0),1,0)+IF(OR(CI44&gt;0,AR44&gt;0),1,0)</f>
        <v>0</v>
      </c>
      <c r="CJ46" s="129">
        <f t="shared" ref="CJ46" si="42">IF(OR(CJ15&gt;0,AS15&gt;0),1,0)+IF(OR(CJ16&gt;0,AS16&gt;0),1,0)+IF(OR(CJ17&gt;0,AS17&gt;0),1,0)+IF(OR(CJ18&gt;0,AS18&gt;0),1,0)+IF(OR(CJ19&gt;0,AS19&gt;0),1,0)+IF(OR(CJ20&gt;0,AS20&gt;0),1,0)+IF(OR(CJ21&gt;0,AS21&gt;0),1,0)+IF(OR(CJ22&gt;0,AS22&gt;0),1,0)+IF(OR(CJ23&gt;0,AS23&gt;0),1,0)+IF(OR(CJ24&gt;0,AS24&gt;0),1,0)+IF(OR(CJ25&gt;0,AS25&gt;0),1,0)+IF(OR(CJ26&gt;0,AS26&gt;0),1,0)+IF(OR(CJ27&gt;0,AS27&gt;0),1,0)+IF(OR(CJ28&gt;0,AS28&gt;0),1,0)+IF(OR(CJ29&gt;0,AS29&gt;0),1,0)+IF(OR(CJ30&gt;0,AS30&gt;0),1,0)+IF(OR(CJ31&gt;0,AS31&gt;0),1,0)+IF(OR(CJ32&gt;0,AS32&gt;0),1,0)+IF(OR(CJ33&gt;0,AS33&gt;0),1,0)+IF(OR(CJ34&gt;0,AS34&gt;0),1,0)+IF(OR(CJ35&gt;0,AS35&gt;0),1,0)+IF(OR(CJ36&gt;0,AS36&gt;0),1,0)+IF(OR(CJ37&gt;0,AS37&gt;0),1,0)+IF(OR(CJ38&gt;0,AS38&gt;0),1,0)+IF(OR(CJ39&gt;0,AS39&gt;0),1,0)+IF(OR(CJ40&gt;0,AS40&gt;0),1,0)+IF(OR(CJ41&gt;0,AS41&gt;0),1,0)+IF(OR(CJ42&gt;0,AS42&gt;0),1,0)+IF(OR(CJ43&gt;0,AS43&gt;0),1,0)+IF(OR(CJ44&gt;0,AS44&gt;0),1,0)</f>
        <v>0</v>
      </c>
      <c r="CK46" s="129">
        <f t="shared" ref="CK46:CL46" si="43">IF(OR(CK15&gt;0,AT15&gt;0),1,0)+IF(OR(CK16&gt;0,AT16&gt;0),1,0)+IF(OR(CK17&gt;0,AT17&gt;0),1,0)+IF(OR(CK18&gt;0,AT18&gt;0),1,0)+IF(OR(CK19&gt;0,AT19&gt;0),1,0)+IF(OR(CK20&gt;0,AT20&gt;0),1,0)+IF(OR(CK21&gt;0,AT21&gt;0),1,0)+IF(OR(CK22&gt;0,AT22&gt;0),1,0)+IF(OR(CK23&gt;0,AT23&gt;0),1,0)+IF(OR(CK24&gt;0,AT24&gt;0),1,0)+IF(OR(CK25&gt;0,AT25&gt;0),1,0)+IF(OR(CK26&gt;0,AT26&gt;0),1,0)+IF(OR(CK27&gt;0,AT27&gt;0),1,0)+IF(OR(CK28&gt;0,AT28&gt;0),1,0)+IF(OR(CK29&gt;0,AT29&gt;0),1,0)+IF(OR(CK30&gt;0,AT30&gt;0),1,0)+IF(OR(CK31&gt;0,AT31&gt;0),1,0)+IF(OR(CK32&gt;0,AT32&gt;0),1,0)+IF(OR(CK33&gt;0,AT33&gt;0),1,0)+IF(OR(CK34&gt;0,AT34&gt;0),1,0)+IF(OR(CK35&gt;0,AT35&gt;0),1,0)+IF(OR(CK36&gt;0,AT36&gt;0),1,0)+IF(OR(CK37&gt;0,AT37&gt;0),1,0)+IF(OR(CK38&gt;0,AT38&gt;0),1,0)+IF(OR(CK39&gt;0,AT39&gt;0),1,0)+IF(OR(CK40&gt;0,AT40&gt;0),1,0)+IF(OR(CK41&gt;0,AT41&gt;0),1,0)+IF(OR(CK42&gt;0,AT42&gt;0),1,0)+IF(OR(CK43&gt;0,AT43&gt;0),1,0)+IF(OR(CK44&gt;0,AT44&gt;0),1,0)</f>
        <v>0</v>
      </c>
      <c r="CL46" s="129">
        <f t="shared" si="43"/>
        <v>0</v>
      </c>
      <c r="CM46" s="129">
        <f t="shared" ref="CM46" si="44">IF(OR(CM15&gt;0,AV15&gt;0),1,0)+IF(OR(CM16&gt;0,AV16&gt;0),1,0)+IF(OR(CM17&gt;0,AV17&gt;0),1,0)+IF(OR(CM18&gt;0,AV18&gt;0),1,0)+IF(OR(CM19&gt;0,AV19&gt;0),1,0)+IF(OR(CM20&gt;0,AV20&gt;0),1,0)+IF(OR(CM21&gt;0,AV21&gt;0),1,0)+IF(OR(CM22&gt;0,AV22&gt;0),1,0)+IF(OR(CM23&gt;0,AV23&gt;0),1,0)+IF(OR(CM24&gt;0,AV24&gt;0),1,0)+IF(OR(CM25&gt;0,AV25&gt;0),1,0)+IF(OR(CM26&gt;0,AV26&gt;0),1,0)+IF(OR(CM27&gt;0,AV27&gt;0),1,0)+IF(OR(CM28&gt;0,AV28&gt;0),1,0)+IF(OR(CM29&gt;0,AV29&gt;0),1,0)+IF(OR(CM30&gt;0,AV30&gt;0),1,0)+IF(OR(CM31&gt;0,AV31&gt;0),1,0)+IF(OR(CM32&gt;0,AV32&gt;0),1,0)+IF(OR(CM33&gt;0,AV33&gt;0),1,0)+IF(OR(CM34&gt;0,AV34&gt;0),1,0)+IF(OR(CM35&gt;0,AV35&gt;0),1,0)+IF(OR(CM36&gt;0,AV36&gt;0),1,0)+IF(OR(CM37&gt;0,AV37&gt;0),1,0)+IF(OR(CM38&gt;0,AV38&gt;0),1,0)+IF(OR(CM39&gt;0,AV39&gt;0),1,0)+IF(OR(CM40&gt;0,AV40&gt;0),1,0)+IF(OR(CM41&gt;0,AV41&gt;0),1,0)+IF(OR(CM42&gt;0,AV42&gt;0),1,0)+IF(OR(CM43&gt;0,AV43&gt;0),1,0)+IF(OR(CM44&gt;0,AV44&gt;0),1,0)</f>
        <v>0</v>
      </c>
      <c r="CN46" s="129">
        <f t="shared" ref="CN46" si="45">IF(OR(CN15&gt;0,AW15&gt;0),1,0)+IF(OR(CN16&gt;0,AW16&gt;0),1,0)+IF(OR(CN17&gt;0,AW17&gt;0),1,0)+IF(OR(CN18&gt;0,AW18&gt;0),1,0)+IF(OR(CN19&gt;0,AW19&gt;0),1,0)+IF(OR(CN20&gt;0,AW20&gt;0),1,0)+IF(OR(CN21&gt;0,AW21&gt;0),1,0)+IF(OR(CN22&gt;0,AW22&gt;0),1,0)+IF(OR(CN23&gt;0,AW23&gt;0),1,0)+IF(OR(CN24&gt;0,AW24&gt;0),1,0)+IF(OR(CN25&gt;0,AW25&gt;0),1,0)+IF(OR(CN26&gt;0,AW26&gt;0),1,0)+IF(OR(CN27&gt;0,AW27&gt;0),1,0)+IF(OR(CN28&gt;0,AW28&gt;0),1,0)+IF(OR(CN29&gt;0,AW29&gt;0),1,0)+IF(OR(CN30&gt;0,AW30&gt;0),1,0)+IF(OR(CN31&gt;0,AW31&gt;0),1,0)+IF(OR(CN32&gt;0,AW32&gt;0),1,0)+IF(OR(CN33&gt;0,AW33&gt;0),1,0)+IF(OR(CN34&gt;0,AW34&gt;0),1,0)+IF(OR(CN35&gt;0,AW35&gt;0),1,0)+IF(OR(CN36&gt;0,AW36&gt;0),1,0)+IF(OR(CN37&gt;0,AW37&gt;0),1,0)+IF(OR(CN38&gt;0,AW38&gt;0),1,0)+IF(OR(CN39&gt;0,AW39&gt;0),1,0)+IF(OR(CN40&gt;0,AW40&gt;0),1,0)+IF(OR(CN41&gt;0,AW41&gt;0),1,0)+IF(OR(CN42&gt;0,AW42&gt;0),1,0)+IF(OR(CN43&gt;0,AW43&gt;0),1,0)+IF(OR(CN44&gt;0,AW44&gt;0),1,0)</f>
        <v>0</v>
      </c>
      <c r="CO46" s="129">
        <f t="shared" ref="CO46:CP46" si="46">IF(OR(CO15&gt;0,AX15&gt;0),1,0)+IF(OR(CO16&gt;0,AX16&gt;0),1,0)+IF(OR(CO17&gt;0,AX17&gt;0),1,0)+IF(OR(CO18&gt;0,AX18&gt;0),1,0)+IF(OR(CO19&gt;0,AX19&gt;0),1,0)+IF(OR(CO20&gt;0,AX20&gt;0),1,0)+IF(OR(CO21&gt;0,AX21&gt;0),1,0)+IF(OR(CO22&gt;0,AX22&gt;0),1,0)+IF(OR(CO23&gt;0,AX23&gt;0),1,0)+IF(OR(CO24&gt;0,AX24&gt;0),1,0)+IF(OR(CO25&gt;0,AX25&gt;0),1,0)+IF(OR(CO26&gt;0,AX26&gt;0),1,0)+IF(OR(CO27&gt;0,AX27&gt;0),1,0)+IF(OR(CO28&gt;0,AX28&gt;0),1,0)+IF(OR(CO29&gt;0,AX29&gt;0),1,0)+IF(OR(CO30&gt;0,AX30&gt;0),1,0)+IF(OR(CO31&gt;0,AX31&gt;0),1,0)+IF(OR(CO32&gt;0,AX32&gt;0),1,0)+IF(OR(CO33&gt;0,AX33&gt;0),1,0)+IF(OR(CO34&gt;0,AX34&gt;0),1,0)+IF(OR(CO35&gt;0,AX35&gt;0),1,0)+IF(OR(CO36&gt;0,AX36&gt;0),1,0)+IF(OR(CO37&gt;0,AX37&gt;0),1,0)+IF(OR(CO38&gt;0,AX38&gt;0),1,0)+IF(OR(CO39&gt;0,AX39&gt;0),1,0)+IF(OR(CO40&gt;0,AX40&gt;0),1,0)+IF(OR(CO41&gt;0,AX41&gt;0),1,0)+IF(OR(CO42&gt;0,AX42&gt;0),1,0)+IF(OR(CO43&gt;0,AX43&gt;0),1,0)+IF(OR(CO44&gt;0,AX44&gt;0),1,0)</f>
        <v>0</v>
      </c>
      <c r="CP46" s="129">
        <f t="shared" si="46"/>
        <v>0</v>
      </c>
      <c r="CQ46" s="129">
        <f t="shared" ref="CQ46" si="47">IF(OR(CQ15&gt;0,AZ15&gt;0),1,0)+IF(OR(CQ16&gt;0,AZ16&gt;0),1,0)+IF(OR(CQ17&gt;0,AZ17&gt;0),1,0)+IF(OR(CQ18&gt;0,AZ18&gt;0),1,0)+IF(OR(CQ19&gt;0,AZ19&gt;0),1,0)+IF(OR(CQ20&gt;0,AZ20&gt;0),1,0)+IF(OR(CQ21&gt;0,AZ21&gt;0),1,0)+IF(OR(CQ22&gt;0,AZ22&gt;0),1,0)+IF(OR(CQ23&gt;0,AZ23&gt;0),1,0)+IF(OR(CQ24&gt;0,AZ24&gt;0),1,0)+IF(OR(CQ25&gt;0,AZ25&gt;0),1,0)+IF(OR(CQ26&gt;0,AZ26&gt;0),1,0)+IF(OR(CQ27&gt;0,AZ27&gt;0),1,0)+IF(OR(CQ28&gt;0,AZ28&gt;0),1,0)+IF(OR(CQ29&gt;0,AZ29&gt;0),1,0)+IF(OR(CQ30&gt;0,AZ30&gt;0),1,0)+IF(OR(CQ31&gt;0,AZ31&gt;0),1,0)+IF(OR(CQ32&gt;0,AZ32&gt;0),1,0)+IF(OR(CQ33&gt;0,AZ33&gt;0),1,0)+IF(OR(CQ34&gt;0,AZ34&gt;0),1,0)+IF(OR(CQ35&gt;0,AZ35&gt;0),1,0)+IF(OR(CQ36&gt;0,AZ36&gt;0),1,0)+IF(OR(CQ37&gt;0,AZ37&gt;0),1,0)+IF(OR(CQ38&gt;0,AZ38&gt;0),1,0)+IF(OR(CQ39&gt;0,AZ39&gt;0),1,0)+IF(OR(CQ40&gt;0,AZ40&gt;0),1,0)+IF(OR(CQ41&gt;0,AZ41&gt;0),1,0)+IF(OR(CQ42&gt;0,AZ42&gt;0),1,0)+IF(OR(CQ43&gt;0,AZ43&gt;0),1,0)+IF(OR(CQ44&gt;0,AZ44&gt;0),1,0)</f>
        <v>0</v>
      </c>
      <c r="CR46" s="129">
        <f t="shared" ref="CR46" si="48">IF(OR(CR15&gt;0,BA15&gt;0),1,0)+IF(OR(CR16&gt;0,BA16&gt;0),1,0)+IF(OR(CR17&gt;0,BA17&gt;0),1,0)+IF(OR(CR18&gt;0,BA18&gt;0),1,0)+IF(OR(CR19&gt;0,BA19&gt;0),1,0)+IF(OR(CR20&gt;0,BA20&gt;0),1,0)+IF(OR(CR21&gt;0,BA21&gt;0),1,0)+IF(OR(CR22&gt;0,BA22&gt;0),1,0)+IF(OR(CR23&gt;0,BA23&gt;0),1,0)+IF(OR(CR24&gt;0,BA24&gt;0),1,0)+IF(OR(CR25&gt;0,BA25&gt;0),1,0)+IF(OR(CR26&gt;0,BA26&gt;0),1,0)+IF(OR(CR27&gt;0,BA27&gt;0),1,0)+IF(OR(CR28&gt;0,BA28&gt;0),1,0)+IF(OR(CR29&gt;0,BA29&gt;0),1,0)+IF(OR(CR30&gt;0,BA30&gt;0),1,0)+IF(OR(CR31&gt;0,BA31&gt;0),1,0)+IF(OR(CR32&gt;0,BA32&gt;0),1,0)+IF(OR(CR33&gt;0,BA33&gt;0),1,0)+IF(OR(CR34&gt;0,BA34&gt;0),1,0)+IF(OR(CR35&gt;0,BA35&gt;0),1,0)+IF(OR(CR36&gt;0,BA36&gt;0),1,0)+IF(OR(CR37&gt;0,BA37&gt;0),1,0)+IF(OR(CR38&gt;0,BA38&gt;0),1,0)+IF(OR(CR39&gt;0,BA39&gt;0),1,0)+IF(OR(CR40&gt;0,BA40&gt;0),1,0)+IF(OR(CR41&gt;0,BA41&gt;0),1,0)+IF(OR(CR42&gt;0,BA42&gt;0),1,0)+IF(OR(CR43&gt;0,BA43&gt;0),1,0)+IF(OR(CR44&gt;0,BA44&gt;0),1,0)</f>
        <v>0</v>
      </c>
      <c r="CS46" s="129">
        <f t="shared" ref="CS46:CT46" si="49">IF(OR(CS15&gt;0,BB15&gt;0),1,0)+IF(OR(CS16&gt;0,BB16&gt;0),1,0)+IF(OR(CS17&gt;0,BB17&gt;0),1,0)+IF(OR(CS18&gt;0,BB18&gt;0),1,0)+IF(OR(CS19&gt;0,BB19&gt;0),1,0)+IF(OR(CS20&gt;0,BB20&gt;0),1,0)+IF(OR(CS21&gt;0,BB21&gt;0),1,0)+IF(OR(CS22&gt;0,BB22&gt;0),1,0)+IF(OR(CS23&gt;0,BB23&gt;0),1,0)+IF(OR(CS24&gt;0,BB24&gt;0),1,0)+IF(OR(CS25&gt;0,BB25&gt;0),1,0)+IF(OR(CS26&gt;0,BB26&gt;0),1,0)+IF(OR(CS27&gt;0,BB27&gt;0),1,0)+IF(OR(CS28&gt;0,BB28&gt;0),1,0)+IF(OR(CS29&gt;0,BB29&gt;0),1,0)+IF(OR(CS30&gt;0,BB30&gt;0),1,0)+IF(OR(CS31&gt;0,BB31&gt;0),1,0)+IF(OR(CS32&gt;0,BB32&gt;0),1,0)+IF(OR(CS33&gt;0,BB33&gt;0),1,0)+IF(OR(CS34&gt;0,BB34&gt;0),1,0)+IF(OR(CS35&gt;0,BB35&gt;0),1,0)+IF(OR(CS36&gt;0,BB36&gt;0),1,0)+IF(OR(CS37&gt;0,BB37&gt;0),1,0)+IF(OR(CS38&gt;0,BB38&gt;0),1,0)+IF(OR(CS39&gt;0,BB39&gt;0),1,0)+IF(OR(CS40&gt;0,BB40&gt;0),1,0)+IF(OR(CS41&gt;0,BB41&gt;0),1,0)+IF(OR(CS42&gt;0,BB42&gt;0),1,0)+IF(OR(CS43&gt;0,BB43&gt;0),1,0)+IF(OR(CS44&gt;0,BB44&gt;0),1,0)</f>
        <v>0</v>
      </c>
      <c r="CT46" s="129">
        <f t="shared" si="49"/>
        <v>0</v>
      </c>
      <c r="CU46" s="129">
        <f t="shared" ref="CU46" si="50">IF(OR(CU15&gt;0,BD15&gt;0),1,0)+IF(OR(CU16&gt;0,BD16&gt;0),1,0)+IF(OR(CU17&gt;0,BD17&gt;0),1,0)+IF(OR(CU18&gt;0,BD18&gt;0),1,0)+IF(OR(CU19&gt;0,BD19&gt;0),1,0)+IF(OR(CU20&gt;0,BD20&gt;0),1,0)+IF(OR(CU21&gt;0,BD21&gt;0),1,0)+IF(OR(CU22&gt;0,BD22&gt;0),1,0)+IF(OR(CU23&gt;0,BD23&gt;0),1,0)+IF(OR(CU24&gt;0,BD24&gt;0),1,0)+IF(OR(CU25&gt;0,BD25&gt;0),1,0)+IF(OR(CU26&gt;0,BD26&gt;0),1,0)+IF(OR(CU27&gt;0,BD27&gt;0),1,0)+IF(OR(CU28&gt;0,BD28&gt;0),1,0)+IF(OR(CU29&gt;0,BD29&gt;0),1,0)+IF(OR(CU30&gt;0,BD30&gt;0),1,0)+IF(OR(CU31&gt;0,BD31&gt;0),1,0)+IF(OR(CU32&gt;0,BD32&gt;0),1,0)+IF(OR(CU33&gt;0,BD33&gt;0),1,0)+IF(OR(CU34&gt;0,BD34&gt;0),1,0)+IF(OR(CU35&gt;0,BD35&gt;0),1,0)+IF(OR(CU36&gt;0,BD36&gt;0),1,0)+IF(OR(CU37&gt;0,BD37&gt;0),1,0)+IF(OR(CU38&gt;0,BD38&gt;0),1,0)+IF(OR(CU39&gt;0,BD39&gt;0),1,0)+IF(OR(CU40&gt;0,BD40&gt;0),1,0)+IF(OR(CU41&gt;0,BD41&gt;0),1,0)+IF(OR(CU42&gt;0,BD42&gt;0),1,0)+IF(OR(CU43&gt;0,BD43&gt;0),1,0)+IF(OR(CU44&gt;0,BD44&gt;0),1,0)</f>
        <v>0</v>
      </c>
      <c r="CV46" s="129">
        <f t="shared" ref="CV46" si="51">IF(OR(CV15&gt;0,BE15&gt;0),1,0)+IF(OR(CV16&gt;0,BE16&gt;0),1,0)+IF(OR(CV17&gt;0,BE17&gt;0),1,0)+IF(OR(CV18&gt;0,BE18&gt;0),1,0)+IF(OR(CV19&gt;0,BE19&gt;0),1,0)+IF(OR(CV20&gt;0,BE20&gt;0),1,0)+IF(OR(CV21&gt;0,BE21&gt;0),1,0)+IF(OR(CV22&gt;0,BE22&gt;0),1,0)+IF(OR(CV23&gt;0,BE23&gt;0),1,0)+IF(OR(CV24&gt;0,BE24&gt;0),1,0)+IF(OR(CV25&gt;0,BE25&gt;0),1,0)+IF(OR(CV26&gt;0,BE26&gt;0),1,0)+IF(OR(CV27&gt;0,BE27&gt;0),1,0)+IF(OR(CV28&gt;0,BE28&gt;0),1,0)+IF(OR(CV29&gt;0,BE29&gt;0),1,0)+IF(OR(CV30&gt;0,BE30&gt;0),1,0)+IF(OR(CV31&gt;0,BE31&gt;0),1,0)+IF(OR(CV32&gt;0,BE32&gt;0),1,0)+IF(OR(CV33&gt;0,BE33&gt;0),1,0)+IF(OR(CV34&gt;0,BE34&gt;0),1,0)+IF(OR(CV35&gt;0,BE35&gt;0),1,0)+IF(OR(CV36&gt;0,BE36&gt;0),1,0)+IF(OR(CV37&gt;0,BE37&gt;0),1,0)+IF(OR(CV38&gt;0,BE38&gt;0),1,0)+IF(OR(CV39&gt;0,BE39&gt;0),1,0)+IF(OR(CV40&gt;0,BE40&gt;0),1,0)+IF(OR(CV41&gt;0,BE41&gt;0),1,0)+IF(OR(CV42&gt;0,BE42&gt;0),1,0)+IF(OR(CV43&gt;0,BE43&gt;0),1,0)+IF(OR(CV44&gt;0,BE44&gt;0),1,0)</f>
        <v>0</v>
      </c>
      <c r="CW46" s="129">
        <f t="shared" ref="CW46:CX46" si="52">IF(OR(CW15&gt;0,BF15&gt;0),1,0)+IF(OR(CW16&gt;0,BF16&gt;0),1,0)+IF(OR(CW17&gt;0,BF17&gt;0),1,0)+IF(OR(CW18&gt;0,BF18&gt;0),1,0)+IF(OR(CW19&gt;0,BF19&gt;0),1,0)+IF(OR(CW20&gt;0,BF20&gt;0),1,0)+IF(OR(CW21&gt;0,BF21&gt;0),1,0)+IF(OR(CW22&gt;0,BF22&gt;0),1,0)+IF(OR(CW23&gt;0,BF23&gt;0),1,0)+IF(OR(CW24&gt;0,BF24&gt;0),1,0)+IF(OR(CW25&gt;0,BF25&gt;0),1,0)+IF(OR(CW26&gt;0,BF26&gt;0),1,0)+IF(OR(CW27&gt;0,BF27&gt;0),1,0)+IF(OR(CW28&gt;0,BF28&gt;0),1,0)+IF(OR(CW29&gt;0,BF29&gt;0),1,0)+IF(OR(CW30&gt;0,BF30&gt;0),1,0)+IF(OR(CW31&gt;0,BF31&gt;0),1,0)+IF(OR(CW32&gt;0,BF32&gt;0),1,0)+IF(OR(CW33&gt;0,BF33&gt;0),1,0)+IF(OR(CW34&gt;0,BF34&gt;0),1,0)+IF(OR(CW35&gt;0,BF35&gt;0),1,0)+IF(OR(CW36&gt;0,BF36&gt;0),1,0)+IF(OR(CW37&gt;0,BF37&gt;0),1,0)+IF(OR(CW38&gt;0,BF38&gt;0),1,0)+IF(OR(CW39&gt;0,BF39&gt;0),1,0)+IF(OR(CW40&gt;0,BF40&gt;0),1,0)+IF(OR(CW41&gt;0,BF41&gt;0),1,0)+IF(OR(CW42&gt;0,BF42&gt;0),1,0)+IF(OR(CW43&gt;0,BF43&gt;0),1,0)+IF(OR(CW44&gt;0,BF44&gt;0),1,0)</f>
        <v>0</v>
      </c>
      <c r="CX46" s="129">
        <f t="shared" si="52"/>
        <v>0</v>
      </c>
      <c r="CY46" s="129">
        <f t="shared" ref="CY46" si="53">IF(OR(CY15&gt;0,BH15&gt;0),1,0)+IF(OR(CY16&gt;0,BH16&gt;0),1,0)+IF(OR(CY17&gt;0,BH17&gt;0),1,0)+IF(OR(CY18&gt;0,BH18&gt;0),1,0)+IF(OR(CY19&gt;0,BH19&gt;0),1,0)+IF(OR(CY20&gt;0,BH20&gt;0),1,0)+IF(OR(CY21&gt;0,BH21&gt;0),1,0)+IF(OR(CY22&gt;0,BH22&gt;0),1,0)+IF(OR(CY23&gt;0,BH23&gt;0),1,0)+IF(OR(CY24&gt;0,BH24&gt;0),1,0)+IF(OR(CY25&gt;0,BH25&gt;0),1,0)+IF(OR(CY26&gt;0,BH26&gt;0),1,0)+IF(OR(CY27&gt;0,BH27&gt;0),1,0)+IF(OR(CY28&gt;0,BH28&gt;0),1,0)+IF(OR(CY29&gt;0,BH29&gt;0),1,0)+IF(OR(CY30&gt;0,BH30&gt;0),1,0)+IF(OR(CY31&gt;0,BH31&gt;0),1,0)+IF(OR(CY32&gt;0,BH32&gt;0),1,0)+IF(OR(CY33&gt;0,BH33&gt;0),1,0)+IF(OR(CY34&gt;0,BH34&gt;0),1,0)+IF(OR(CY35&gt;0,BH35&gt;0),1,0)+IF(OR(CY36&gt;0,BH36&gt;0),1,0)+IF(OR(CY37&gt;0,BH37&gt;0),1,0)+IF(OR(CY38&gt;0,BH38&gt;0),1,0)+IF(OR(CY39&gt;0,BH39&gt;0),1,0)+IF(OR(CY40&gt;0,BH40&gt;0),1,0)+IF(OR(CY41&gt;0,BH41&gt;0),1,0)+IF(OR(CY42&gt;0,BH42&gt;0),1,0)+IF(OR(CY43&gt;0,BH43&gt;0),1,0)+IF(OR(CY44&gt;0,BH44&gt;0),1,0)</f>
        <v>0</v>
      </c>
      <c r="CZ46" s="129">
        <f t="shared" ref="CZ46" si="54">IF(OR(CZ15&gt;0,BI15&gt;0),1,0)+IF(OR(CZ16&gt;0,BI16&gt;0),1,0)+IF(OR(CZ17&gt;0,BI17&gt;0),1,0)+IF(OR(CZ18&gt;0,BI18&gt;0),1,0)+IF(OR(CZ19&gt;0,BI19&gt;0),1,0)+IF(OR(CZ20&gt;0,BI20&gt;0),1,0)+IF(OR(CZ21&gt;0,BI21&gt;0),1,0)+IF(OR(CZ22&gt;0,BI22&gt;0),1,0)+IF(OR(CZ23&gt;0,BI23&gt;0),1,0)+IF(OR(CZ24&gt;0,BI24&gt;0),1,0)+IF(OR(CZ25&gt;0,BI25&gt;0),1,0)+IF(OR(CZ26&gt;0,BI26&gt;0),1,0)+IF(OR(CZ27&gt;0,BI27&gt;0),1,0)+IF(OR(CZ28&gt;0,BI28&gt;0),1,0)+IF(OR(CZ29&gt;0,BI29&gt;0),1,0)+IF(OR(CZ30&gt;0,BI30&gt;0),1,0)+IF(OR(CZ31&gt;0,BI31&gt;0),1,0)+IF(OR(CZ32&gt;0,BI32&gt;0),1,0)+IF(OR(CZ33&gt;0,BI33&gt;0),1,0)+IF(OR(CZ34&gt;0,BI34&gt;0),1,0)+IF(OR(CZ35&gt;0,BI35&gt;0),1,0)+IF(OR(CZ36&gt;0,BI36&gt;0),1,0)+IF(OR(CZ37&gt;0,BI37&gt;0),1,0)+IF(OR(CZ38&gt;0,BI38&gt;0),1,0)+IF(OR(CZ39&gt;0,BI39&gt;0),1,0)+IF(OR(CZ40&gt;0,BI40&gt;0),1,0)+IF(OR(CZ41&gt;0,BI41&gt;0),1,0)+IF(OR(CZ42&gt;0,BI42&gt;0),1,0)+IF(OR(CZ43&gt;0,BI43&gt;0),1,0)+IF(OR(CZ44&gt;0,BI44&gt;0),1,0)</f>
        <v>0</v>
      </c>
      <c r="DA46" s="129">
        <f t="shared" ref="DA46:DB46" si="55">IF(OR(DA15&gt;0,BJ15&gt;0),1,0)+IF(OR(DA16&gt;0,BJ16&gt;0),1,0)+IF(OR(DA17&gt;0,BJ17&gt;0),1,0)+IF(OR(DA18&gt;0,BJ18&gt;0),1,0)+IF(OR(DA19&gt;0,BJ19&gt;0),1,0)+IF(OR(DA20&gt;0,BJ20&gt;0),1,0)+IF(OR(DA21&gt;0,BJ21&gt;0),1,0)+IF(OR(DA22&gt;0,BJ22&gt;0),1,0)+IF(OR(DA23&gt;0,BJ23&gt;0),1,0)+IF(OR(DA24&gt;0,BJ24&gt;0),1,0)+IF(OR(DA25&gt;0,BJ25&gt;0),1,0)+IF(OR(DA26&gt;0,BJ26&gt;0),1,0)+IF(OR(DA27&gt;0,BJ27&gt;0),1,0)+IF(OR(DA28&gt;0,BJ28&gt;0),1,0)+IF(OR(DA29&gt;0,BJ29&gt;0),1,0)+IF(OR(DA30&gt;0,BJ30&gt;0),1,0)+IF(OR(DA31&gt;0,BJ31&gt;0),1,0)+IF(OR(DA32&gt;0,BJ32&gt;0),1,0)+IF(OR(DA33&gt;0,BJ33&gt;0),1,0)+IF(OR(DA34&gt;0,BJ34&gt;0),1,0)+IF(OR(DA35&gt;0,BJ35&gt;0),1,0)+IF(OR(DA36&gt;0,BJ36&gt;0),1,0)+IF(OR(DA37&gt;0,BJ37&gt;0),1,0)+IF(OR(DA38&gt;0,BJ38&gt;0),1,0)+IF(OR(DA39&gt;0,BJ39&gt;0),1,0)+IF(OR(DA40&gt;0,BJ40&gt;0),1,0)+IF(OR(DA41&gt;0,BJ41&gt;0),1,0)+IF(OR(DA42&gt;0,BJ42&gt;0),1,0)+IF(OR(DA43&gt;0,BJ43&gt;0),1,0)+IF(OR(DA44&gt;0,BJ44&gt;0),1,0)</f>
        <v>0</v>
      </c>
      <c r="DB46" s="129">
        <f t="shared" si="55"/>
        <v>0</v>
      </c>
      <c r="DC46" s="129">
        <f t="shared" ref="DC46" si="56">IF(OR(DC15&gt;0,BL15&gt;0),1,0)+IF(OR(DC16&gt;0,BL16&gt;0),1,0)+IF(OR(DC17&gt;0,BL17&gt;0),1,0)+IF(OR(DC18&gt;0,BL18&gt;0),1,0)+IF(OR(DC19&gt;0,BL19&gt;0),1,0)+IF(OR(DC20&gt;0,BL20&gt;0),1,0)+IF(OR(DC21&gt;0,BL21&gt;0),1,0)+IF(OR(DC22&gt;0,BL22&gt;0),1,0)+IF(OR(DC23&gt;0,BL23&gt;0),1,0)+IF(OR(DC24&gt;0,BL24&gt;0),1,0)+IF(OR(DC25&gt;0,BL25&gt;0),1,0)+IF(OR(DC26&gt;0,BL26&gt;0),1,0)+IF(OR(DC27&gt;0,BL27&gt;0),1,0)+IF(OR(DC28&gt;0,BL28&gt;0),1,0)+IF(OR(DC29&gt;0,BL29&gt;0),1,0)+IF(OR(DC30&gt;0,BL30&gt;0),1,0)+IF(OR(DC31&gt;0,BL31&gt;0),1,0)+IF(OR(DC32&gt;0,BL32&gt;0),1,0)+IF(OR(DC33&gt;0,BL33&gt;0),1,0)+IF(OR(DC34&gt;0,BL34&gt;0),1,0)+IF(OR(DC35&gt;0,BL35&gt;0),1,0)+IF(OR(DC36&gt;0,BL36&gt;0),1,0)+IF(OR(DC37&gt;0,BL37&gt;0),1,0)+IF(OR(DC38&gt;0,BL38&gt;0),1,0)+IF(OR(DC39&gt;0,BL39&gt;0),1,0)+IF(OR(DC40&gt;0,BL40&gt;0),1,0)+IF(OR(DC41&gt;0,BL41&gt;0),1,0)+IF(OR(DC42&gt;0,BL42&gt;0),1,0)+IF(OR(DC43&gt;0,BL43&gt;0),1,0)+IF(OR(DC44&gt;0,BL44&gt;0),1,0)</f>
        <v>0</v>
      </c>
      <c r="DD46" s="129">
        <f t="shared" ref="DD46" si="57">IF(OR(DD15&gt;0,BM15&gt;0),1,0)+IF(OR(DD16&gt;0,BM16&gt;0),1,0)+IF(OR(DD17&gt;0,BM17&gt;0),1,0)+IF(OR(DD18&gt;0,BM18&gt;0),1,0)+IF(OR(DD19&gt;0,BM19&gt;0),1,0)+IF(OR(DD20&gt;0,BM20&gt;0),1,0)+IF(OR(DD21&gt;0,BM21&gt;0),1,0)+IF(OR(DD22&gt;0,BM22&gt;0),1,0)+IF(OR(DD23&gt;0,BM23&gt;0),1,0)+IF(OR(DD24&gt;0,BM24&gt;0),1,0)+IF(OR(DD25&gt;0,BM25&gt;0),1,0)+IF(OR(DD26&gt;0,BM26&gt;0),1,0)+IF(OR(DD27&gt;0,BM27&gt;0),1,0)+IF(OR(DD28&gt;0,BM28&gt;0),1,0)+IF(OR(DD29&gt;0,BM29&gt;0),1,0)+IF(OR(DD30&gt;0,BM30&gt;0),1,0)+IF(OR(DD31&gt;0,BM31&gt;0),1,0)+IF(OR(DD32&gt;0,BM32&gt;0),1,0)+IF(OR(DD33&gt;0,BM33&gt;0),1,0)+IF(OR(DD34&gt;0,BM34&gt;0),1,0)+IF(OR(DD35&gt;0,BM35&gt;0),1,0)+IF(OR(DD36&gt;0,BM36&gt;0),1,0)+IF(OR(DD37&gt;0,BM37&gt;0),1,0)+IF(OR(DD38&gt;0,BM38&gt;0),1,0)+IF(OR(DD39&gt;0,BM39&gt;0),1,0)+IF(OR(DD40&gt;0,BM40&gt;0),1,0)+IF(OR(DD41&gt;0,BM41&gt;0),1,0)+IF(OR(DD42&gt;0,BM42&gt;0),1,0)+IF(OR(DD43&gt;0,BM43&gt;0),1,0)+IF(OR(DD44&gt;0,BM44&gt;0),1,0)</f>
        <v>0</v>
      </c>
    </row>
    <row r="47" spans="1:116" ht="70" customHeight="1">
      <c r="A47" s="873" t="str">
        <f>"Arbejdstid for "&amp;A13&amp;" måned:"</f>
        <v>Arbejdstid for September måned:</v>
      </c>
      <c r="B47" s="874"/>
      <c r="C47" s="874"/>
      <c r="D47" s="874"/>
      <c r="E47" s="874"/>
      <c r="F47" s="874"/>
      <c r="G47" s="874"/>
      <c r="H47" s="201" t="s">
        <v>126</v>
      </c>
      <c r="I47" s="923" t="s">
        <v>115</v>
      </c>
      <c r="J47" s="924"/>
      <c r="K47" s="150"/>
      <c r="L47" s="966" t="s">
        <v>187</v>
      </c>
      <c r="M47" s="967"/>
      <c r="N47" s="967"/>
      <c r="O47" s="967"/>
      <c r="P47" s="967"/>
      <c r="Q47" s="967"/>
      <c r="R47" s="967"/>
      <c r="S47" s="968"/>
      <c r="T47" s="598" t="s">
        <v>361</v>
      </c>
      <c r="U47" s="373" t="s">
        <v>257</v>
      </c>
      <c r="V47" s="303"/>
      <c r="W47" s="117"/>
      <c r="X47" s="130"/>
      <c r="Y47" s="130"/>
      <c r="Z47" s="130"/>
      <c r="AA47"/>
      <c r="AB47"/>
      <c r="AK47" s="56"/>
      <c r="AL47" s="56"/>
      <c r="BO47" s="117"/>
      <c r="BP47" s="117"/>
      <c r="BQ47" s="130"/>
      <c r="BR47" s="130"/>
      <c r="BS47"/>
      <c r="BT47"/>
      <c r="CB47" s="56"/>
      <c r="CC47" s="56"/>
    </row>
    <row r="48" spans="1:116" ht="24" customHeight="1">
      <c r="A48" s="875" t="s">
        <v>270</v>
      </c>
      <c r="B48" s="876"/>
      <c r="C48" s="876"/>
      <c r="D48" s="876"/>
      <c r="E48" s="876"/>
      <c r="F48" s="876"/>
      <c r="G48" s="876"/>
      <c r="H48" s="145">
        <f>D82-D80-A92-D79</f>
        <v>22</v>
      </c>
      <c r="I48" s="852">
        <f>J65</f>
        <v>0</v>
      </c>
      <c r="J48" s="853"/>
      <c r="K48" s="147"/>
      <c r="L48" s="390"/>
      <c r="M48" s="391"/>
      <c r="N48" s="391"/>
      <c r="O48" s="391"/>
      <c r="P48" s="391"/>
      <c r="Q48" s="391"/>
      <c r="R48" s="391"/>
      <c r="S48" s="391"/>
      <c r="T48" s="392">
        <f>August!T62</f>
        <v>0</v>
      </c>
      <c r="U48" s="393">
        <f>August!U62</f>
        <v>0</v>
      </c>
      <c r="V48" s="303"/>
      <c r="W48" s="130"/>
      <c r="X48" s="130"/>
      <c r="Y48" s="130"/>
      <c r="Z48" s="130"/>
      <c r="AA48"/>
      <c r="AB48"/>
      <c r="AK48" s="56"/>
      <c r="AL48" s="56"/>
      <c r="BO48" s="130"/>
      <c r="BP48" s="130"/>
      <c r="BQ48" s="130"/>
      <c r="BR48" s="130"/>
      <c r="BS48"/>
      <c r="BT48"/>
      <c r="CB48" s="56"/>
      <c r="CC48" s="56"/>
    </row>
    <row r="49" spans="1:114" ht="24" customHeight="1">
      <c r="A49" s="875" t="str">
        <f>"Ferie "&amp;A13&amp;" måned"</f>
        <v>Ferie September måned</v>
      </c>
      <c r="B49" s="876"/>
      <c r="C49" s="876"/>
      <c r="D49" s="876"/>
      <c r="E49" s="876"/>
      <c r="F49" s="876"/>
      <c r="G49" s="876"/>
      <c r="H49" s="146" t="str">
        <f>IF(D76&gt;0,$D$76,"0")</f>
        <v>0</v>
      </c>
      <c r="I49" s="961">
        <f>H49*7.4*Stamoplysninger!E21</f>
        <v>0</v>
      </c>
      <c r="J49" s="962"/>
      <c r="K49" s="147"/>
      <c r="L49" s="388" t="s">
        <v>190</v>
      </c>
      <c r="M49" s="389"/>
      <c r="N49" s="389"/>
      <c r="O49" s="389"/>
      <c r="P49" s="389"/>
      <c r="Q49" s="389"/>
      <c r="R49" s="389"/>
      <c r="S49" s="389"/>
      <c r="T49" s="592"/>
      <c r="U49" s="356"/>
      <c r="V49" s="303"/>
      <c r="W49" s="130"/>
      <c r="X49" s="130"/>
      <c r="Y49" s="130"/>
      <c r="Z49" s="130"/>
      <c r="AA49"/>
      <c r="AB49"/>
      <c r="AK49" s="56"/>
      <c r="AL49" s="56"/>
      <c r="BO49" s="130"/>
      <c r="BP49" s="130"/>
      <c r="BQ49" s="130"/>
      <c r="BR49" s="130"/>
      <c r="BS49"/>
      <c r="BT49"/>
      <c r="CB49" s="56"/>
      <c r="CC49" s="56"/>
    </row>
    <row r="50" spans="1:114" ht="24" customHeight="1">
      <c r="A50" s="875" t="str">
        <f>"Søgnehelligdage i "&amp;A13&amp;" måned"</f>
        <v>Søgnehelligdage i September måned</v>
      </c>
      <c r="B50" s="876"/>
      <c r="C50" s="876"/>
      <c r="D50" s="876"/>
      <c r="E50" s="876"/>
      <c r="F50" s="876"/>
      <c r="G50" s="876"/>
      <c r="H50" s="146">
        <f>IF(D81&gt;0,D81,0)</f>
        <v>0</v>
      </c>
      <c r="I50" s="961">
        <f>H50*7.4*Stamoplysninger!E21</f>
        <v>0</v>
      </c>
      <c r="J50" s="962"/>
      <c r="K50" s="147"/>
      <c r="L50" s="948" t="s">
        <v>363</v>
      </c>
      <c r="M50" s="949"/>
      <c r="N50" s="949"/>
      <c r="O50" s="949"/>
      <c r="P50" s="949"/>
      <c r="Q50" s="949"/>
      <c r="R50" s="949"/>
      <c r="S50" s="949"/>
      <c r="T50" s="949"/>
      <c r="U50" s="950"/>
      <c r="V50" s="303"/>
      <c r="W50" s="130"/>
      <c r="X50" s="130"/>
      <c r="Y50" s="130"/>
      <c r="Z50" s="130"/>
      <c r="AA50"/>
      <c r="AB50"/>
      <c r="AK50" s="56"/>
      <c r="AL50" s="56"/>
      <c r="BO50" s="130"/>
      <c r="BP50" s="130"/>
      <c r="BQ50" s="130"/>
      <c r="BR50" s="130"/>
      <c r="BS50"/>
      <c r="BT50"/>
      <c r="CB50" s="56"/>
      <c r="CC50" s="56"/>
    </row>
    <row r="51" spans="1:114" ht="24" customHeight="1">
      <c r="A51" s="875" t="str">
        <f>"Nettoarbejdstid ialt i "&amp;A13&amp;" måned"</f>
        <v>Nettoarbejdstid ialt i September måned</v>
      </c>
      <c r="B51" s="876"/>
      <c r="C51" s="876"/>
      <c r="D51" s="876"/>
      <c r="E51" s="876"/>
      <c r="F51" s="876"/>
      <c r="G51" s="876"/>
      <c r="H51" s="148">
        <f>H48-H49-H50</f>
        <v>22</v>
      </c>
      <c r="I51" s="961">
        <f>IF(Stamoplysninger!$E$18="Ikke omfattet af overenskomst - ansat med en fast årsnorm",Stamoplysninger!$E$20/228*H51*Stamoplysninger!$E$21,I48-I49-I50)</f>
        <v>0</v>
      </c>
      <c r="J51" s="962"/>
      <c r="K51" s="225"/>
      <c r="L51" s="375" t="s">
        <v>362</v>
      </c>
      <c r="M51" s="376" t="s">
        <v>201</v>
      </c>
      <c r="N51" s="954" t="s">
        <v>277</v>
      </c>
      <c r="O51" s="949"/>
      <c r="P51" s="949"/>
      <c r="Q51" s="949"/>
      <c r="R51" s="949"/>
      <c r="S51" s="955"/>
      <c r="T51" s="921" t="s">
        <v>188</v>
      </c>
      <c r="U51" s="922"/>
      <c r="V51" s="303"/>
      <c r="W51" s="130"/>
      <c r="X51" s="130"/>
      <c r="Y51" s="130"/>
      <c r="Z51" s="130"/>
      <c r="AA51"/>
      <c r="AB51"/>
      <c r="AK51" s="56"/>
      <c r="AL51" s="56"/>
      <c r="BO51" s="130"/>
      <c r="BP51" s="130"/>
      <c r="BQ51" s="130"/>
      <c r="BR51" s="130"/>
      <c r="BS51"/>
      <c r="BT51"/>
      <c r="CB51" s="56"/>
      <c r="CC51" s="56"/>
    </row>
    <row r="52" spans="1:114" ht="24" customHeight="1">
      <c r="A52" s="881" t="str">
        <f>"Planlagt arbejdstid efter ovennstående "&amp;A13&amp;" måned kalender"</f>
        <v>Planlagt arbejdstid efter ovennstående September måned kalender</v>
      </c>
      <c r="B52" s="882"/>
      <c r="C52" s="882"/>
      <c r="D52" s="882"/>
      <c r="E52" s="882"/>
      <c r="F52" s="882"/>
      <c r="G52" s="882"/>
      <c r="H52" s="281">
        <f>D59+D60+D61+D62+D65+D66+D73+D67+D68+D69+D70+D71+D72+D74+D75+D63+D64</f>
        <v>22</v>
      </c>
      <c r="I52" s="940">
        <f>K45+L45+M45-J60</f>
        <v>0</v>
      </c>
      <c r="J52" s="941"/>
      <c r="K52" s="225"/>
      <c r="L52" s="372"/>
      <c r="M52" s="304"/>
      <c r="N52" s="956"/>
      <c r="O52" s="957"/>
      <c r="P52" s="957"/>
      <c r="Q52" s="957"/>
      <c r="R52" s="957"/>
      <c r="S52" s="958"/>
      <c r="T52" s="304"/>
      <c r="U52" s="371"/>
      <c r="V52" s="303"/>
      <c r="W52" s="130"/>
      <c r="X52" s="130"/>
      <c r="Y52" s="130"/>
      <c r="Z52" s="130"/>
      <c r="AA52"/>
      <c r="AB52"/>
      <c r="AK52" s="56"/>
      <c r="AL52" s="56"/>
      <c r="BO52" s="130"/>
      <c r="BP52" s="130"/>
      <c r="BQ52" s="130"/>
      <c r="BR52" s="130"/>
      <c r="BS52"/>
      <c r="BT52"/>
      <c r="CB52" s="56"/>
      <c r="CC52" s="56"/>
    </row>
    <row r="53" spans="1:114" ht="24" customHeight="1">
      <c r="A53" s="883" t="str">
        <f>"Arbejde særligt planlagt for "&amp;A13&amp;" måned efter fanen skemaoplysninger"</f>
        <v>Arbejde særligt planlagt for September måned efter fanen skemaoplysninger</v>
      </c>
      <c r="B53" s="884"/>
      <c r="C53" s="884"/>
      <c r="D53" s="884"/>
      <c r="E53" s="884"/>
      <c r="F53" s="884"/>
      <c r="G53" s="884"/>
      <c r="H53" s="885"/>
      <c r="I53" s="942">
        <f>IF(I52=0,0,'Normal uger'!M98)</f>
        <v>0</v>
      </c>
      <c r="J53" s="943"/>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413" t="s">
        <v>273</v>
      </c>
      <c r="B54" s="414"/>
      <c r="C54" s="414"/>
      <c r="D54" s="414"/>
      <c r="E54" s="414"/>
      <c r="F54" s="414"/>
      <c r="G54" s="414"/>
      <c r="H54" s="415"/>
      <c r="I54" s="959" t="e">
        <f>IF(Arbejdstidsoversigt!$H$54="Puljetimer registreres i månedskalendere",O45-L60,SUM(Arbejdstidsoversigt!J34:J52)/Arbejdstidsoversigt!$G$20*H51)</f>
        <v>#DIV/0!</v>
      </c>
      <c r="J54" s="960"/>
      <c r="K54" s="226"/>
      <c r="L54" s="372"/>
      <c r="M54" s="304"/>
      <c r="N54" s="956"/>
      <c r="O54" s="957"/>
      <c r="P54" s="957"/>
      <c r="Q54" s="957"/>
      <c r="R54" s="957"/>
      <c r="S54" s="958"/>
      <c r="T54" s="353"/>
      <c r="U54" s="371"/>
      <c r="V54" s="406"/>
      <c r="W54" s="406"/>
      <c r="X54" s="303"/>
      <c r="Y54" s="130"/>
      <c r="Z54" s="130"/>
      <c r="AA54" s="130"/>
      <c r="AB54" s="130"/>
      <c r="AM54" s="56"/>
      <c r="AN54" s="56"/>
      <c r="BQ54" s="130"/>
      <c r="BR54" s="130"/>
      <c r="BS54" s="130"/>
      <c r="BT54" s="130"/>
      <c r="CD54" s="56"/>
      <c r="CE54" s="56"/>
    </row>
    <row r="55" spans="1:114" ht="24" customHeight="1">
      <c r="A55" s="877" t="s">
        <v>248</v>
      </c>
      <c r="B55" s="878"/>
      <c r="C55" s="878"/>
      <c r="D55" s="878"/>
      <c r="E55" s="878"/>
      <c r="F55" s="878"/>
      <c r="G55" s="878"/>
      <c r="H55" s="878"/>
      <c r="I55" s="944">
        <f>S45+U45+T45-P60-Q60-R60</f>
        <v>0</v>
      </c>
      <c r="J55" s="945"/>
      <c r="K55" s="226"/>
      <c r="L55" s="372"/>
      <c r="M55" s="304"/>
      <c r="N55" s="956"/>
      <c r="O55" s="957"/>
      <c r="P55" s="957"/>
      <c r="Q55" s="957"/>
      <c r="R55" s="957"/>
      <c r="S55" s="958"/>
      <c r="T55" s="304"/>
      <c r="U55" s="371"/>
      <c r="V55" s="303"/>
      <c r="W55" s="130"/>
      <c r="X55" s="130"/>
      <c r="Y55" s="130"/>
      <c r="Z55" s="130"/>
      <c r="AA55"/>
      <c r="AB55"/>
      <c r="AK55" s="56"/>
      <c r="AL55" s="56"/>
      <c r="BO55" s="130"/>
      <c r="BP55" s="130"/>
      <c r="BQ55" s="130"/>
      <c r="BR55" s="130"/>
      <c r="BS55"/>
      <c r="BT55"/>
      <c r="CB55" s="56"/>
      <c r="CC55" s="56"/>
    </row>
    <row r="56" spans="1:114" ht="24" customHeight="1" thickBot="1">
      <c r="A56" s="149" t="str">
        <f>"Faktisk arbejdstid ialt i "&amp;A13&amp;" måned"</f>
        <v>Faktisk arbejdstid ialt i September måned</v>
      </c>
      <c r="B56" s="188"/>
      <c r="C56" s="189"/>
      <c r="D56" s="189"/>
      <c r="E56" s="189"/>
      <c r="F56" s="189"/>
      <c r="G56" s="189"/>
      <c r="H56" s="190"/>
      <c r="I56" s="946" t="e">
        <f>SUM(I52:J55)</f>
        <v>#DIV/0!</v>
      </c>
      <c r="J56" s="947"/>
      <c r="K56" s="227"/>
      <c r="L56" s="377" t="s">
        <v>189</v>
      </c>
      <c r="M56" s="378"/>
      <c r="N56" s="378"/>
      <c r="O56" s="378"/>
      <c r="P56" s="378"/>
      <c r="Q56" s="378"/>
      <c r="R56" s="378"/>
      <c r="S56" s="379"/>
      <c r="T56" s="387">
        <f>T48+T49-SUM(T52:T55)</f>
        <v>0</v>
      </c>
      <c r="U56" s="394">
        <f>U48+U49-SUM(U52:U55)</f>
        <v>0</v>
      </c>
      <c r="V56" s="303"/>
      <c r="W56" s="137"/>
      <c r="X56" s="130"/>
      <c r="Z56" s="130"/>
      <c r="AA56" s="130"/>
      <c r="AB56"/>
      <c r="AM56" s="56"/>
      <c r="AN56" s="56"/>
      <c r="BO56" s="137"/>
      <c r="BP56" s="137"/>
      <c r="BR56" s="130"/>
      <c r="BS56"/>
      <c r="BT56"/>
      <c r="CD56" s="56"/>
      <c r="CE56" s="56"/>
    </row>
    <row r="57" spans="1:114" ht="24" hidden="1" customHeight="1">
      <c r="A57" s="144"/>
      <c r="B57" s="144"/>
      <c r="C57" s="144"/>
      <c r="D57" s="144"/>
      <c r="E57" s="144"/>
      <c r="F57" s="144"/>
      <c r="G57" s="144"/>
      <c r="H57" s="144"/>
      <c r="I57" s="302"/>
      <c r="J57" s="302"/>
      <c r="K57" s="131"/>
      <c r="L57" s="290"/>
      <c r="M57" s="252"/>
      <c r="N57" s="252"/>
      <c r="O57" s="252"/>
      <c r="P57" s="252"/>
      <c r="Q57" s="252"/>
      <c r="R57" s="205"/>
      <c r="S57" s="253"/>
      <c r="T57" s="126"/>
      <c r="U57" s="126"/>
      <c r="V57" s="303"/>
      <c r="W57" s="137"/>
      <c r="X57" s="130"/>
      <c r="Z57" s="130"/>
      <c r="AA57" s="130"/>
      <c r="AB57"/>
      <c r="AL57" s="56"/>
      <c r="AM57" s="56"/>
      <c r="BG57" s="56"/>
      <c r="BH57" s="56"/>
      <c r="BO57" s="137"/>
      <c r="BP57" s="137"/>
      <c r="BR57" s="130"/>
      <c r="BS57"/>
      <c r="BT57"/>
      <c r="CC57" s="56"/>
      <c r="CD57" s="56"/>
    </row>
    <row r="58" spans="1:114" hidden="1">
      <c r="A58" s="286"/>
      <c r="B58" s="286"/>
      <c r="C58" s="286"/>
      <c r="D58" s="286"/>
      <c r="E58" s="286"/>
      <c r="F58" s="286"/>
      <c r="G58" s="286"/>
      <c r="H58" s="287"/>
      <c r="I58" s="288"/>
      <c r="K58" s="302"/>
      <c r="L58" s="289"/>
      <c r="M58" s="279"/>
      <c r="N58" s="279"/>
      <c r="O58" s="279"/>
      <c r="P58" s="279"/>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B58" s="137"/>
      <c r="CC58" s="137"/>
      <c r="CD58" s="137"/>
      <c r="CE58" s="137"/>
      <c r="CF58" s="137"/>
      <c r="CG58" s="130"/>
      <c r="CI58" s="130"/>
      <c r="CJ58" s="130"/>
      <c r="CN58" s="56"/>
      <c r="CO58" s="56"/>
      <c r="CX58" s="56"/>
      <c r="CY58" s="56"/>
      <c r="DH58" s="138"/>
      <c r="DI58" s="138"/>
    </row>
    <row r="59" spans="1:114" hidden="1">
      <c r="A59" s="295" t="s">
        <v>217</v>
      </c>
      <c r="B59" s="295"/>
      <c r="C59" s="295"/>
      <c r="D59" s="295">
        <f>COUNTIF([0]!September1,"Normal uge 1")</f>
        <v>22</v>
      </c>
      <c r="E59" s="296"/>
      <c r="F59" s="295"/>
      <c r="G59" s="295"/>
      <c r="H59" s="288"/>
      <c r="I59" s="291"/>
      <c r="J59" s="289"/>
      <c r="K59" s="286"/>
      <c r="L59" s="291"/>
      <c r="M59" s="280"/>
      <c r="N59" s="252"/>
      <c r="O59" s="252"/>
      <c r="P59" s="280"/>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B59" s="137"/>
      <c r="CC59" s="137"/>
      <c r="CD59" s="137"/>
      <c r="CE59" s="137"/>
      <c r="CF59" s="137"/>
      <c r="CG59" s="130"/>
      <c r="CI59" s="130"/>
      <c r="CJ59" s="130"/>
      <c r="CN59" s="56"/>
      <c r="CO59" s="56"/>
      <c r="CX59" s="56"/>
      <c r="CY59" s="56"/>
      <c r="DH59" s="138"/>
      <c r="DI59" s="138"/>
    </row>
    <row r="60" spans="1:114" hidden="1">
      <c r="A60" s="969" t="s">
        <v>204</v>
      </c>
      <c r="B60" s="969"/>
      <c r="C60" s="969"/>
      <c r="D60" s="295">
        <f>COUNTIF([0]!September1,"Normal uge 2")</f>
        <v>0</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R60" si="58">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 t="shared" si="58"/>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B60" s="118"/>
      <c r="CC60" s="118"/>
      <c r="CD60" s="137"/>
      <c r="CE60" s="137"/>
      <c r="CF60" s="137"/>
      <c r="CG60" s="137"/>
      <c r="CH60" s="130"/>
      <c r="CJ60" s="130"/>
      <c r="CK60" s="130"/>
      <c r="CO60" s="56"/>
      <c r="CP60" s="56"/>
      <c r="CU60" s="130"/>
      <c r="CY60" s="56"/>
      <c r="CZ60" s="56"/>
      <c r="DG60" s="1"/>
      <c r="DI60" s="138"/>
      <c r="DJ60" s="138"/>
    </row>
    <row r="61" spans="1:114" hidden="1">
      <c r="A61" s="969" t="s">
        <v>205</v>
      </c>
      <c r="B61" s="969"/>
      <c r="C61" s="969"/>
      <c r="D61" s="295">
        <f>COUNTIF([0]!September1,"Normal uge 3")</f>
        <v>0</v>
      </c>
      <c r="E61" s="296"/>
      <c r="F61" s="295"/>
      <c r="G61" s="295" t="s">
        <v>489</v>
      </c>
      <c r="H61" s="852">
        <f>IF(AND(Stamoplysninger!$E$18="BUPL/FOA",Stamoplysninger!$E$19="Ja"),1924/Arbejdstidsoversigt!$K$13*Stamoplysninger!$E$21*$H$48,H48*7.4*Stamoplysninger!$E$21)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B61" s="118"/>
      <c r="CC61" s="118"/>
      <c r="CD61" s="137"/>
      <c r="CE61" s="137"/>
      <c r="CF61" s="137"/>
      <c r="CG61" s="137"/>
      <c r="CH61" s="130"/>
      <c r="CJ61" s="130"/>
      <c r="CK61" s="130"/>
      <c r="CO61" s="56"/>
      <c r="CP61" s="56"/>
      <c r="CU61" s="130"/>
      <c r="CY61" s="56"/>
      <c r="CZ61" s="56"/>
      <c r="DG61" s="1"/>
      <c r="DI61" s="138"/>
      <c r="DJ61" s="138"/>
    </row>
    <row r="62" spans="1:114" hidden="1">
      <c r="A62" s="969" t="s">
        <v>206</v>
      </c>
      <c r="B62" s="969"/>
      <c r="C62" s="969"/>
      <c r="D62" s="295">
        <f>COUNTIF([0]!September1,"Normal uge 4")</f>
        <v>0</v>
      </c>
      <c r="E62" s="296"/>
      <c r="F62" s="295"/>
      <c r="G62" s="295" t="s">
        <v>212</v>
      </c>
      <c r="H62" s="852">
        <f>IF(AND(Stamoplysninger!$E$18="HK",Stamoplysninger!$E$19="Ja"),1924/Arbejdstidsoversigt!$K$13*Stamoplysninger!$E$21*$H$48,$H$48*7.4*Stamoplysninger!$E$21)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B62" s="118"/>
      <c r="CC62" s="118"/>
      <c r="CD62" s="137"/>
      <c r="CE62" s="137"/>
      <c r="CF62" s="137"/>
      <c r="CG62" s="137"/>
      <c r="CH62" s="130"/>
      <c r="CJ62" s="130"/>
      <c r="CK62" s="130"/>
      <c r="CO62" s="56"/>
      <c r="CP62" s="56"/>
      <c r="CU62" s="130"/>
      <c r="CY62" s="56"/>
      <c r="CZ62" s="56"/>
      <c r="DG62" s="1"/>
      <c r="DI62" s="138"/>
      <c r="DJ62" s="138"/>
    </row>
    <row r="63" spans="1:114" hidden="1">
      <c r="A63" s="650" t="s">
        <v>406</v>
      </c>
      <c r="B63" s="650"/>
      <c r="C63" s="650"/>
      <c r="D63" s="295">
        <f>COUNTIF([0]!September1,"Normal uge 5")</f>
        <v>0</v>
      </c>
      <c r="E63" s="296"/>
      <c r="F63" s="295"/>
      <c r="G63" s="295" t="s">
        <v>213</v>
      </c>
      <c r="H63" s="288">
        <f>IF(Stamoplysninger!$E$18="3F",7.4*Stamoplysninger!$E$21*$H$48,0)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B63" s="118"/>
      <c r="CC63" s="118"/>
      <c r="CD63" s="137"/>
      <c r="CE63" s="137"/>
      <c r="CF63" s="137"/>
      <c r="CG63" s="137"/>
      <c r="CH63" s="130"/>
      <c r="CJ63" s="130"/>
      <c r="CK63" s="130"/>
      <c r="CO63" s="56"/>
      <c r="CP63" s="56"/>
      <c r="CU63" s="130"/>
      <c r="CY63" s="56"/>
      <c r="CZ63" s="56"/>
      <c r="DG63" s="1"/>
      <c r="DI63" s="138"/>
      <c r="DJ63" s="138"/>
    </row>
    <row r="64" spans="1:114" hidden="1">
      <c r="A64" s="652" t="s">
        <v>407</v>
      </c>
      <c r="B64" s="652"/>
      <c r="C64" s="652"/>
      <c r="D64" s="295">
        <f>COUNTIF([0]!September1,"Normal uge 6")</f>
        <v>0</v>
      </c>
      <c r="E64" s="296"/>
      <c r="F64" s="295"/>
      <c r="G64" s="295" t="s">
        <v>498</v>
      </c>
      <c r="H64" s="288">
        <f>IF(Stamoplysninger!$E$18="Ikke omfattet af overenskomst - ansat med en variabel årsnorm",7.4*Stamoplysninger!$E$21*$H$48,0)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B64" s="118"/>
      <c r="CC64" s="118"/>
      <c r="CD64" s="137"/>
      <c r="CE64" s="137"/>
      <c r="CF64" s="137"/>
      <c r="CG64" s="137"/>
      <c r="CH64" s="130"/>
      <c r="CJ64" s="130"/>
      <c r="CK64" s="130"/>
      <c r="CO64" s="56"/>
      <c r="CP64" s="56"/>
      <c r="CU64" s="130"/>
      <c r="CY64" s="56"/>
      <c r="CZ64" s="56"/>
      <c r="DG64" s="1"/>
      <c r="DI64" s="138"/>
      <c r="DJ64" s="138"/>
    </row>
    <row r="65" spans="1:114" hidden="1">
      <c r="A65" s="295" t="s">
        <v>228</v>
      </c>
      <c r="B65" s="295"/>
      <c r="C65" s="295"/>
      <c r="D65" s="295">
        <f>COUNTIF([0]!September1,"Anderledes dag")</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B65" s="118"/>
      <c r="CC65" s="118"/>
      <c r="CD65" s="137"/>
      <c r="CE65" s="137"/>
      <c r="CF65" s="137"/>
      <c r="CG65" s="137"/>
      <c r="CH65" s="130"/>
      <c r="CJ65" s="130"/>
      <c r="CK65" s="130"/>
      <c r="CO65" s="56"/>
      <c r="CP65" s="56"/>
      <c r="CU65" s="130"/>
      <c r="CY65" s="56"/>
      <c r="CZ65" s="56"/>
      <c r="DG65" s="1"/>
      <c r="DI65" s="138"/>
      <c r="DJ65" s="138"/>
    </row>
    <row r="66" spans="1:114" hidden="1">
      <c r="A66" s="297" t="s">
        <v>370</v>
      </c>
      <c r="B66" s="295"/>
      <c r="C66" s="295"/>
      <c r="D66" s="295">
        <f>COUNTIF([0]!September1,"Ferieåbning")</f>
        <v>0</v>
      </c>
      <c r="E66" s="296"/>
      <c r="F66" s="295"/>
      <c r="G66" s="295"/>
      <c r="H66" s="288"/>
      <c r="I66" s="288"/>
      <c r="J66" s="289"/>
      <c r="K66" s="291"/>
      <c r="L66" s="292"/>
      <c r="M66" s="280"/>
      <c r="N66" s="280"/>
      <c r="O66" s="280"/>
      <c r="P66" s="280"/>
      <c r="AA66"/>
      <c r="AB66"/>
      <c r="AW66" s="1"/>
      <c r="BG66" s="1"/>
      <c r="BR66" s="63"/>
      <c r="BS66"/>
      <c r="BT66"/>
      <c r="CN66" s="1"/>
      <c r="CX66" s="1"/>
      <c r="DG66" s="138"/>
    </row>
    <row r="67" spans="1:114" hidden="1">
      <c r="A67" s="297" t="s">
        <v>218</v>
      </c>
      <c r="B67" s="295"/>
      <c r="C67" s="295"/>
      <c r="D67" s="295">
        <f>COUNTIF([0]!September1,"Rul 1")</f>
        <v>0</v>
      </c>
      <c r="E67" s="296"/>
      <c r="F67" s="295"/>
      <c r="G67" s="295"/>
      <c r="H67" s="288"/>
      <c r="I67" s="292"/>
      <c r="J67" s="292"/>
      <c r="K67" s="292"/>
      <c r="L67" s="292"/>
      <c r="M67" s="252"/>
      <c r="N67" s="280"/>
      <c r="O67" s="280"/>
      <c r="P67" s="252"/>
      <c r="AA67"/>
      <c r="AB67"/>
      <c r="AW67" s="1"/>
      <c r="BG67" s="1"/>
      <c r="BR67" s="63"/>
      <c r="BS67"/>
      <c r="BT67"/>
      <c r="CN67" s="1"/>
      <c r="CX67" s="1"/>
      <c r="DG67" s="138"/>
    </row>
    <row r="68" spans="1:114" hidden="1">
      <c r="A68" s="297" t="s">
        <v>219</v>
      </c>
      <c r="B68" s="295"/>
      <c r="C68" s="295"/>
      <c r="D68" s="295">
        <f>COUNTIF([0]!September1,"Rul 2")</f>
        <v>0</v>
      </c>
      <c r="E68" s="296"/>
      <c r="F68" s="295"/>
      <c r="G68" s="295"/>
      <c r="H68" s="288"/>
      <c r="I68" s="292"/>
      <c r="J68" s="292"/>
      <c r="K68" s="292"/>
      <c r="L68" s="292"/>
      <c r="N68" s="280"/>
      <c r="O68" s="280"/>
      <c r="AA68"/>
      <c r="AB68"/>
      <c r="AW68" s="1"/>
      <c r="BG68" s="1"/>
      <c r="BR68" s="63"/>
      <c r="BS68"/>
      <c r="BT68"/>
      <c r="CN68" s="1"/>
      <c r="CX68" s="1"/>
      <c r="DG68" s="138"/>
    </row>
    <row r="69" spans="1:114" hidden="1">
      <c r="A69" s="297" t="s">
        <v>220</v>
      </c>
      <c r="B69" s="295"/>
      <c r="C69" s="295"/>
      <c r="D69" s="295">
        <f>COUNTIF([0]!September1,"Rul 3")</f>
        <v>0</v>
      </c>
      <c r="E69" s="296"/>
      <c r="F69" s="295"/>
      <c r="G69" s="295"/>
      <c r="H69" s="288"/>
      <c r="I69" s="292"/>
      <c r="J69" s="292"/>
      <c r="K69" s="292"/>
      <c r="L69" s="292"/>
      <c r="N69" s="252"/>
      <c r="O69" s="252"/>
      <c r="P69" s="288"/>
      <c r="AA69"/>
      <c r="AB69"/>
      <c r="AW69" s="1"/>
      <c r="BG69" s="1"/>
      <c r="BR69" s="63"/>
      <c r="BS69"/>
      <c r="BT69"/>
      <c r="CN69" s="1"/>
      <c r="CX69" s="1"/>
      <c r="DG69" s="138"/>
    </row>
    <row r="70" spans="1:114" hidden="1">
      <c r="A70" s="297" t="s">
        <v>221</v>
      </c>
      <c r="B70" s="295"/>
      <c r="C70" s="295"/>
      <c r="D70" s="295">
        <f>COUNTIF([0]!September1,"Rul 4")</f>
        <v>0</v>
      </c>
      <c r="E70" s="296"/>
      <c r="F70" s="295"/>
      <c r="G70" s="295"/>
      <c r="H70" s="288"/>
      <c r="I70" s="292"/>
      <c r="J70" s="292"/>
      <c r="K70" s="292"/>
      <c r="L70" s="292"/>
      <c r="AA70"/>
      <c r="AB70"/>
      <c r="AW70" s="1"/>
      <c r="BG70" s="1"/>
      <c r="BR70" s="63"/>
      <c r="BS70"/>
      <c r="BT70"/>
      <c r="CN70" s="1"/>
      <c r="CX70" s="1"/>
      <c r="DG70" s="138"/>
    </row>
    <row r="71" spans="1:114" hidden="1">
      <c r="A71" s="297" t="s">
        <v>222</v>
      </c>
      <c r="B71" s="295"/>
      <c r="C71" s="295"/>
      <c r="D71" s="295">
        <f>COUNTIF([0]!September1,"Rul 5")</f>
        <v>0</v>
      </c>
      <c r="E71" s="296"/>
      <c r="F71" s="295"/>
      <c r="G71" s="295"/>
      <c r="H71" s="288"/>
      <c r="I71" s="292"/>
      <c r="J71" s="292"/>
      <c r="K71" s="292"/>
      <c r="L71" s="292"/>
      <c r="AA71"/>
      <c r="AB71"/>
      <c r="AW71" s="1"/>
      <c r="BG71" s="1"/>
      <c r="BS71"/>
      <c r="BT71"/>
      <c r="CN71" s="1"/>
      <c r="CX71" s="1"/>
      <c r="DG71" s="138"/>
    </row>
    <row r="72" spans="1:114" hidden="1">
      <c r="A72" s="297" t="s">
        <v>223</v>
      </c>
      <c r="B72" s="295"/>
      <c r="C72" s="295"/>
      <c r="D72" s="295">
        <f>COUNTIF([0]!September1,"Rul 6")</f>
        <v>0</v>
      </c>
      <c r="E72" s="296"/>
      <c r="F72" s="298"/>
      <c r="G72" s="298"/>
      <c r="H72" s="294"/>
      <c r="I72" s="292"/>
      <c r="J72" s="292"/>
      <c r="K72" s="292"/>
      <c r="L72" s="292"/>
      <c r="AA72"/>
      <c r="AB72"/>
      <c r="AW72" s="1"/>
      <c r="BG72" s="1"/>
      <c r="BS72"/>
      <c r="BT72"/>
      <c r="CN72" s="1"/>
      <c r="CX72" s="1"/>
      <c r="DG72" s="138"/>
    </row>
    <row r="73" spans="1:114" hidden="1">
      <c r="A73" s="295" t="s">
        <v>83</v>
      </c>
      <c r="B73" s="295"/>
      <c r="C73" s="295"/>
      <c r="D73" s="295">
        <f>COUNTIF([0]!September1,"Pæd.dag")</f>
        <v>0</v>
      </c>
      <c r="E73" s="296"/>
      <c r="F73" s="295"/>
      <c r="G73" s="295"/>
      <c r="H73" s="288"/>
      <c r="I73" s="292"/>
      <c r="J73" s="292"/>
      <c r="K73" s="292"/>
      <c r="L73" s="291"/>
      <c r="AA73"/>
      <c r="AB73"/>
      <c r="AW73" s="1"/>
      <c r="BG73" s="1"/>
      <c r="BS73"/>
      <c r="BT73"/>
      <c r="CN73" s="1"/>
      <c r="CX73" s="1"/>
      <c r="DG73" s="138"/>
    </row>
    <row r="74" spans="1:114" hidden="1">
      <c r="A74" s="295" t="s">
        <v>227</v>
      </c>
      <c r="B74" s="295"/>
      <c r="C74" s="295"/>
      <c r="D74" s="295">
        <f>COUNTIF([0]!September1,"Koloni")</f>
        <v>0</v>
      </c>
      <c r="E74" s="296"/>
      <c r="F74" s="295"/>
      <c r="G74" s="295"/>
      <c r="H74" s="288"/>
      <c r="I74" s="292"/>
      <c r="J74" s="292"/>
      <c r="K74" s="292"/>
      <c r="L74" s="291"/>
      <c r="AA74"/>
      <c r="AB74"/>
      <c r="AW74" s="1"/>
      <c r="BG74" s="1"/>
      <c r="BS74"/>
      <c r="BT74"/>
      <c r="CN74" s="1"/>
      <c r="CX74" s="1"/>
      <c r="DG74" s="138"/>
    </row>
    <row r="75" spans="1:114" hidden="1">
      <c r="A75" s="295" t="s">
        <v>82</v>
      </c>
      <c r="B75" s="295"/>
      <c r="C75" s="295"/>
      <c r="D75" s="295">
        <f>COUNTIF([0]!September1,"Ekskursion")</f>
        <v>0</v>
      </c>
      <c r="E75" s="296"/>
      <c r="F75" s="295"/>
      <c r="G75" s="295"/>
      <c r="H75" s="288"/>
      <c r="I75" s="292"/>
      <c r="J75" s="292"/>
      <c r="K75" s="292"/>
      <c r="L75" s="291"/>
      <c r="AA75"/>
      <c r="AB75"/>
      <c r="AW75" s="1"/>
      <c r="BG75" s="1"/>
      <c r="BS75"/>
      <c r="BT75"/>
      <c r="CN75" s="1"/>
      <c r="CX75" s="1"/>
      <c r="DG75" s="138"/>
    </row>
    <row r="76" spans="1:114" hidden="1">
      <c r="A76" s="295" t="s">
        <v>109</v>
      </c>
      <c r="B76" s="295"/>
      <c r="C76" s="295"/>
      <c r="D76" s="295">
        <f>COUNTIF([0]!September1,"Feriedag")</f>
        <v>0</v>
      </c>
      <c r="E76" s="295"/>
      <c r="F76" s="295"/>
      <c r="G76" s="295"/>
      <c r="H76" s="288"/>
      <c r="I76" s="292"/>
      <c r="J76" s="292"/>
      <c r="K76" s="292"/>
      <c r="L76" s="291"/>
      <c r="AA76"/>
      <c r="AB76"/>
      <c r="AW76" s="1"/>
      <c r="BG76" s="1"/>
      <c r="BS76"/>
      <c r="BT76"/>
      <c r="CN76" s="1"/>
      <c r="CX76" s="1"/>
      <c r="DG76" s="138"/>
    </row>
    <row r="77" spans="1:114" hidden="1">
      <c r="A77" s="295" t="s">
        <v>78</v>
      </c>
      <c r="B77" s="295"/>
      <c r="C77" s="295"/>
      <c r="D77" s="295">
        <f>COUNTIF([0]!September1,"Nul-dag")</f>
        <v>0</v>
      </c>
      <c r="E77" s="299"/>
      <c r="F77" s="295"/>
      <c r="G77" s="295"/>
      <c r="H77" s="288"/>
      <c r="I77" s="292"/>
      <c r="J77" s="292"/>
      <c r="K77" s="292"/>
      <c r="L77" s="291"/>
      <c r="AA77"/>
      <c r="AB77"/>
      <c r="AW77" s="1"/>
      <c r="BG77" s="1"/>
      <c r="BS77"/>
      <c r="BT77"/>
      <c r="CN77" s="1"/>
      <c r="CX77" s="1"/>
      <c r="DG77" s="138"/>
    </row>
    <row r="78" spans="1:114" hidden="1">
      <c r="A78" s="295" t="s">
        <v>176</v>
      </c>
      <c r="B78" s="295"/>
      <c r="C78" s="295"/>
      <c r="D78" s="295">
        <f>COUNTIF([0]!September1,"Orlov")</f>
        <v>0</v>
      </c>
      <c r="E78" s="295"/>
      <c r="F78" s="295"/>
      <c r="G78" s="295"/>
      <c r="H78" s="288"/>
      <c r="I78" s="288"/>
      <c r="J78" s="292"/>
      <c r="K78" s="292"/>
      <c r="L78" s="291"/>
      <c r="AA78"/>
      <c r="AB78"/>
      <c r="AW78" s="1"/>
      <c r="BG78" s="1"/>
      <c r="BS78"/>
      <c r="BT78"/>
      <c r="CN78" s="1"/>
      <c r="CX78" s="1"/>
      <c r="DG78" s="138"/>
    </row>
    <row r="79" spans="1:114" hidden="1">
      <c r="A79" s="295" t="s">
        <v>98</v>
      </c>
      <c r="B79" s="295"/>
      <c r="C79" s="295"/>
      <c r="D79" s="295">
        <f>COUNTIF([0]!September1,"Ikke relevant")</f>
        <v>0</v>
      </c>
      <c r="E79" s="295"/>
      <c r="F79" s="295"/>
      <c r="G79" s="295"/>
      <c r="H79" s="288"/>
      <c r="I79" s="288"/>
      <c r="J79" s="291"/>
      <c r="K79" s="292"/>
      <c r="L79" s="291"/>
      <c r="AA79"/>
      <c r="AB79"/>
      <c r="AW79" s="1"/>
      <c r="BG79" s="1"/>
      <c r="BS79"/>
      <c r="BT79"/>
      <c r="CN79" s="1"/>
      <c r="CX79" s="1"/>
      <c r="DG79" s="138"/>
    </row>
    <row r="80" spans="1:114" hidden="1">
      <c r="A80" s="295" t="s">
        <v>77</v>
      </c>
      <c r="B80" s="295"/>
      <c r="C80" s="295"/>
      <c r="D80" s="295">
        <f>COUNTIF([0]!September1,"Weekend")</f>
        <v>8</v>
      </c>
      <c r="E80" s="295"/>
      <c r="F80" s="295"/>
      <c r="G80" s="295"/>
      <c r="H80" s="288"/>
      <c r="I80" s="288"/>
      <c r="J80" s="291"/>
      <c r="K80" s="291"/>
      <c r="L80" s="291"/>
      <c r="AA80"/>
      <c r="AB80"/>
      <c r="AW80" s="1"/>
      <c r="BG80" s="1"/>
      <c r="BS80"/>
      <c r="BT80"/>
      <c r="CN80" s="1"/>
      <c r="CX80" s="1"/>
      <c r="DG80" s="138"/>
    </row>
    <row r="81" spans="1:114" hidden="1">
      <c r="A81" s="293" t="s">
        <v>76</v>
      </c>
      <c r="B81" s="295"/>
      <c r="C81" s="295"/>
      <c r="D81" s="295">
        <f>COUNTIF([0]!September1,"SH-dag")</f>
        <v>0</v>
      </c>
      <c r="E81" s="295"/>
      <c r="F81" s="295"/>
      <c r="G81" s="295"/>
      <c r="H81" s="288"/>
      <c r="I81" s="288"/>
      <c r="J81" s="291"/>
      <c r="K81" s="291"/>
      <c r="L81" s="291"/>
      <c r="AA81"/>
      <c r="AB81"/>
      <c r="AW81" s="1"/>
      <c r="BG81" s="1">
        <f>SUM(Z87:BF87)</f>
        <v>0</v>
      </c>
      <c r="BS81"/>
      <c r="BT81"/>
      <c r="CN81" s="1"/>
      <c r="CX81" s="1"/>
      <c r="DG81" s="138"/>
    </row>
    <row r="82" spans="1:114" hidden="1">
      <c r="A82" s="295" t="s">
        <v>73</v>
      </c>
      <c r="B82" s="295"/>
      <c r="C82" s="295"/>
      <c r="D82" s="295">
        <f>SUM(D59:D81)</f>
        <v>30</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122</v>
      </c>
      <c r="B83" s="295"/>
      <c r="C83" s="295"/>
      <c r="D83" s="295">
        <f>D82-D76-A92-D80-D81</f>
        <v>22</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c r="B84" s="295"/>
      <c r="C84" s="295"/>
      <c r="D84" s="295"/>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33"/>
      <c r="AA85"/>
      <c r="AB85"/>
      <c r="AW85" s="1">
        <f>SUM(P85:AV85)</f>
        <v>0</v>
      </c>
      <c r="BS85"/>
      <c r="BT85"/>
      <c r="CN85" s="1">
        <f>SUM(AV85:CM85)</f>
        <v>0</v>
      </c>
      <c r="CX85" s="1">
        <f>SUM(BQ90:CW90)</f>
        <v>0</v>
      </c>
      <c r="DG85" s="138"/>
    </row>
    <row r="86" spans="1:114" hidden="1">
      <c r="A86" s="295" t="s">
        <v>138</v>
      </c>
      <c r="B86" s="295"/>
      <c r="C86" s="295"/>
      <c r="D86" s="295"/>
      <c r="E86" s="295"/>
      <c r="F86" s="295"/>
      <c r="G86" s="295"/>
      <c r="H86" s="291"/>
      <c r="I86" s="288"/>
      <c r="J86" s="291"/>
      <c r="K86" s="291"/>
      <c r="L86" s="33"/>
      <c r="AA86"/>
      <c r="AB86"/>
      <c r="BS86"/>
      <c r="BT86"/>
      <c r="DG86" s="138"/>
    </row>
    <row r="87" spans="1:114" hidden="1">
      <c r="A87" s="295">
        <f>COUNTIF(C20:C21,"Normal uge 1")+COUNTIF(C20:C21,"Normal uge 2")+COUNTIF(C20:C21,"Normal uge 3")+COUNTIF(C20:C21,"Normal uge 4")+COUNTIF(C20:C21,"Anderledes dag")+COUNTIF(C20:C21,"Feriepasningsdag")+COUNTIF(C20:C21,"Koloni")+COUNTIF(C20:C21,"Ekskursion")+COUNTIF(C20:C21,"Pæd.dag")</f>
        <v>0</v>
      </c>
      <c r="B87" s="295"/>
      <c r="C87" s="295"/>
      <c r="D87" s="295"/>
      <c r="E87" s="295"/>
      <c r="F87" s="295"/>
      <c r="G87" s="295"/>
      <c r="H87" s="291"/>
      <c r="I87" s="291"/>
      <c r="J87" s="291"/>
      <c r="K87" s="291"/>
      <c r="L87" s="33"/>
      <c r="AA87"/>
      <c r="AB87"/>
      <c r="BS87"/>
      <c r="BT87"/>
      <c r="DG87" s="138"/>
    </row>
    <row r="88" spans="1:114" hidden="1">
      <c r="A88" s="295">
        <f>COUNTIF(C27:C28,"Normal uge 1")+COUNTIF(C27:C28,"Normal uge 2")+COUNTIF(C27:C28,"Normal uge 3")+COUNTIF(C27:C28,"Normal uge 4")+COUNTIF(C27:C28,"Anderledes dag")+COUNTIF(C27:C28,"Feriepasningsdag")+COUNTIF(C27:C28,"Pæd.dag")+COUNTIF(C27:C28,"Ekskursion")+COUNTIF(C27:C28,"Koloni")</f>
        <v>0</v>
      </c>
      <c r="B88" s="295"/>
      <c r="C88" s="295"/>
      <c r="D88" s="295"/>
      <c r="E88" s="295"/>
      <c r="F88" s="295"/>
      <c r="G88" s="295"/>
      <c r="H88" s="291"/>
      <c r="I88" s="33"/>
      <c r="J88" s="291"/>
      <c r="K88" s="291"/>
      <c r="L88" s="33"/>
      <c r="AA88"/>
      <c r="AB88"/>
      <c r="BS88"/>
      <c r="BT88"/>
      <c r="DG88" s="138"/>
    </row>
    <row r="89" spans="1:114" hidden="1">
      <c r="A89" s="295">
        <f>COUNTIF(C34:C35,"Normal uge 1")+COUNTIF(C34:C35,"Normal uge 2")+COUNTIF(C34:C35,"Normal uge 3")+COUNTIF(C34:C35,"Normal uge 4")+COUNTIF(C34:C35,"Anderledes dag")+COUNTIF(C34:C35,"Feriepasningsdag")+COUNTIF(C34:C35,"Koloni")+COUNTIF(C34:C35,"Ekskursion")+COUNTIF(C34:C35,"Pæd.dag")</f>
        <v>0</v>
      </c>
      <c r="B89" s="295"/>
      <c r="C89" s="295"/>
      <c r="D89" s="295"/>
      <c r="E89" s="288"/>
      <c r="F89" s="288"/>
      <c r="G89" s="288"/>
      <c r="H89" s="291"/>
      <c r="I89" s="33"/>
      <c r="J89" s="33"/>
      <c r="K89" s="291"/>
      <c r="L89" s="33"/>
      <c r="AA89"/>
      <c r="AB89"/>
      <c r="BS89"/>
      <c r="BT89"/>
      <c r="DG89" s="138"/>
    </row>
    <row r="90" spans="1:114" hidden="1">
      <c r="A90" s="295">
        <f>COUNTIF(C41:C42,"Normal uge 1")+COUNTIF(C41:C42,"Normal uge 2")+COUNTIF(C41:C42,"Normal uge 3")+COUNTIF(C41:C42,"Normal uge 4")+COUNTIF(C41:C42,"Anderledes dag")+COUNTIF(C41:C42,"Feriepasningsdag")+COUNTIF(C41:C42,"Koloni")+COUNTIF(C41:C42,"Ekskursion")+COUNTIF(C41:C42,"Pæd.dag")</f>
        <v>0</v>
      </c>
      <c r="B90" s="295"/>
      <c r="C90" s="295"/>
      <c r="D90" s="295"/>
      <c r="E90" s="288"/>
      <c r="F90" s="288"/>
      <c r="G90" s="288"/>
      <c r="H90" s="291"/>
      <c r="I90" s="33"/>
      <c r="J90" s="33"/>
      <c r="K90" s="33"/>
      <c r="L90" s="33"/>
      <c r="AA90"/>
      <c r="AB90"/>
      <c r="BS90"/>
      <c r="BT90"/>
      <c r="DG90" s="138"/>
    </row>
    <row r="91" spans="1:114" hidden="1">
      <c r="A91" s="295"/>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B91" s="4"/>
      <c r="CC91" s="4"/>
      <c r="CD91" s="127"/>
      <c r="CE91" s="127"/>
      <c r="CF91" s="127"/>
      <c r="CG91" s="127"/>
      <c r="DI91" s="138"/>
      <c r="DJ91" s="138"/>
    </row>
    <row r="92" spans="1:114" hidden="1">
      <c r="A92" s="295">
        <f>SUM(A87:A91)</f>
        <v>0</v>
      </c>
      <c r="B92" s="295"/>
      <c r="C92" s="295"/>
      <c r="D92" s="295"/>
      <c r="E92" s="68"/>
      <c r="F92" s="68"/>
      <c r="G92" s="68"/>
      <c r="H92" s="33"/>
      <c r="I92" s="33"/>
      <c r="J92" s="33"/>
      <c r="K92" s="33"/>
      <c r="L92" s="33"/>
      <c r="AA92"/>
      <c r="AB92"/>
      <c r="AF92" s="4"/>
      <c r="AG92" s="4"/>
      <c r="AH92" s="4"/>
      <c r="AI92" s="4"/>
      <c r="AJ92" s="4"/>
      <c r="AK92" s="4"/>
      <c r="AL92" s="4"/>
      <c r="AM92" s="127"/>
      <c r="AN92" s="127"/>
      <c r="AO92" s="127"/>
      <c r="AP92" s="127"/>
      <c r="BS92"/>
      <c r="BT92"/>
      <c r="BW92" s="4"/>
      <c r="BX92" s="4"/>
      <c r="BY92" s="4"/>
      <c r="BZ92" s="4"/>
      <c r="CB92" s="4"/>
      <c r="CC92" s="4"/>
      <c r="CD92" s="127"/>
      <c r="CE92" s="127"/>
      <c r="CF92" s="127"/>
      <c r="CG92" s="127"/>
      <c r="DI92" s="138"/>
      <c r="DJ92" s="138"/>
    </row>
    <row r="93" spans="1:114" hidden="1">
      <c r="A93" s="300"/>
      <c r="B93" s="300"/>
      <c r="C93" s="300"/>
      <c r="D93" s="300"/>
      <c r="E93" s="68"/>
      <c r="F93" s="68"/>
      <c r="G93" s="68"/>
      <c r="H93" s="33"/>
      <c r="I93" s="33"/>
      <c r="J93" s="33"/>
      <c r="K93" s="33"/>
      <c r="L93" s="33"/>
    </row>
    <row r="94" spans="1:114" hidden="1">
      <c r="A94" s="33"/>
      <c r="B94" s="33"/>
      <c r="C94" s="33"/>
      <c r="D94" s="33"/>
      <c r="E94" s="260"/>
      <c r="F94" s="260"/>
      <c r="G94" s="260"/>
      <c r="H94" s="260"/>
      <c r="I94" s="260"/>
      <c r="J94" s="260"/>
      <c r="K94" s="33"/>
      <c r="L94" s="260"/>
    </row>
    <row r="95" spans="1:114" hidden="1">
      <c r="A95" s="33"/>
      <c r="B95" s="33"/>
      <c r="C95" s="33"/>
      <c r="D95" s="33"/>
      <c r="E95" s="260"/>
      <c r="F95" s="260"/>
      <c r="G95" s="260"/>
      <c r="H95" s="260"/>
      <c r="I95" s="260"/>
      <c r="J95" s="260"/>
      <c r="K95" s="260"/>
      <c r="L95" s="260"/>
    </row>
    <row r="96" spans="1:114" hidden="1">
      <c r="A96" s="260"/>
      <c r="B96" s="260"/>
      <c r="C96" s="260"/>
      <c r="D96" s="260"/>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hidden="1">
      <c r="A116" s="260"/>
      <c r="B116" s="260"/>
      <c r="C116" s="260"/>
      <c r="D116" s="260"/>
      <c r="E116" s="260"/>
      <c r="F116" s="260"/>
      <c r="G116" s="260"/>
      <c r="H116" s="260"/>
      <c r="I116" s="260"/>
      <c r="J116" s="260"/>
      <c r="K116" s="260"/>
      <c r="L116" s="260"/>
    </row>
    <row r="117" spans="1:12" hidden="1">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c r="L118" s="260"/>
    </row>
    <row r="119" spans="1:12">
      <c r="A119" s="260"/>
      <c r="B119" s="260"/>
      <c r="C119" s="260"/>
      <c r="D119" s="260"/>
      <c r="E119" s="260"/>
      <c r="F119" s="260"/>
      <c r="G119" s="260"/>
      <c r="H119" s="260"/>
      <c r="I119" s="260"/>
      <c r="J119" s="260"/>
      <c r="K119" s="260"/>
    </row>
    <row r="120" spans="1:12">
      <c r="A120" s="260"/>
      <c r="B120" s="260"/>
      <c r="C120" s="260"/>
      <c r="D120" s="260"/>
      <c r="E120" s="260"/>
      <c r="F120" s="260"/>
      <c r="G120" s="260"/>
      <c r="H120" s="260"/>
      <c r="I120" s="260"/>
      <c r="J120" s="260"/>
      <c r="K120" s="260"/>
    </row>
    <row r="121" spans="1:12">
      <c r="A121" s="260"/>
      <c r="B121" s="260"/>
      <c r="C121" s="260"/>
      <c r="D121" s="260"/>
      <c r="I121" s="260"/>
      <c r="J121" s="260"/>
      <c r="K121" s="260"/>
    </row>
    <row r="122" spans="1:12">
      <c r="A122" s="260"/>
      <c r="B122" s="260"/>
      <c r="C122" s="260"/>
      <c r="D122" s="260"/>
      <c r="J122" s="260"/>
      <c r="K122" s="260"/>
    </row>
    <row r="123" spans="1:12">
      <c r="A123" s="260"/>
      <c r="B123" s="260"/>
      <c r="C123" s="260"/>
      <c r="D123" s="260"/>
      <c r="K123" s="260"/>
    </row>
    <row r="124" spans="1:12">
      <c r="A124" s="260"/>
      <c r="B124" s="260"/>
      <c r="C124" s="260"/>
      <c r="D124" s="260"/>
    </row>
    <row r="125" spans="1:12">
      <c r="A125" s="260"/>
      <c r="B125" s="260"/>
      <c r="C125" s="260"/>
      <c r="D125" s="260"/>
    </row>
    <row r="126" spans="1:12">
      <c r="A126" s="260"/>
      <c r="B126" s="260"/>
      <c r="C126" s="260"/>
      <c r="D126" s="260"/>
    </row>
  </sheetData>
  <sheetProtection sheet="1" objects="1" scenarios="1"/>
  <mergeCells count="114">
    <mergeCell ref="I56:J56"/>
    <mergeCell ref="A60:C60"/>
    <mergeCell ref="A61:C61"/>
    <mergeCell ref="A62:C62"/>
    <mergeCell ref="A53:H53"/>
    <mergeCell ref="I53:J53"/>
    <mergeCell ref="A55:H55"/>
    <mergeCell ref="I55:J55"/>
    <mergeCell ref="I54:J54"/>
    <mergeCell ref="N53:S53"/>
    <mergeCell ref="N54:S54"/>
    <mergeCell ref="N55:S55"/>
    <mergeCell ref="A51:G51"/>
    <mergeCell ref="I51:J51"/>
    <mergeCell ref="A52:G52"/>
    <mergeCell ref="I52:J52"/>
    <mergeCell ref="N52:S52"/>
    <mergeCell ref="N51:S51"/>
    <mergeCell ref="E43:G43"/>
    <mergeCell ref="T51:U51"/>
    <mergeCell ref="A47:G47"/>
    <mergeCell ref="I47:J47"/>
    <mergeCell ref="A48:G48"/>
    <mergeCell ref="I48:J48"/>
    <mergeCell ref="L47:S47"/>
    <mergeCell ref="A49:G49"/>
    <mergeCell ref="I49:J49"/>
    <mergeCell ref="L50:U50"/>
    <mergeCell ref="A50:G50"/>
    <mergeCell ref="I50:J50"/>
    <mergeCell ref="E34:G34"/>
    <mergeCell ref="E35:G35"/>
    <mergeCell ref="E36:G36"/>
    <mergeCell ref="E37:G37"/>
    <mergeCell ref="E38:G38"/>
    <mergeCell ref="E39:G39"/>
    <mergeCell ref="E40:G40"/>
    <mergeCell ref="E41:G41"/>
    <mergeCell ref="E42:G42"/>
    <mergeCell ref="BP12:BZ12"/>
    <mergeCell ref="E15:G15"/>
    <mergeCell ref="E16:G16"/>
    <mergeCell ref="E17:G17"/>
    <mergeCell ref="E18:G18"/>
    <mergeCell ref="E19:G19"/>
    <mergeCell ref="E32:G32"/>
    <mergeCell ref="E21:G21"/>
    <mergeCell ref="E22:G22"/>
    <mergeCell ref="E23:G23"/>
    <mergeCell ref="E24:G24"/>
    <mergeCell ref="E25:G25"/>
    <mergeCell ref="E26:G26"/>
    <mergeCell ref="E27:G27"/>
    <mergeCell ref="E28:G28"/>
    <mergeCell ref="E29:G29"/>
    <mergeCell ref="E30:G30"/>
    <mergeCell ref="E31:G31"/>
    <mergeCell ref="P14:R14"/>
    <mergeCell ref="S14:U14"/>
    <mergeCell ref="N12:O12"/>
    <mergeCell ref="N14:O14"/>
    <mergeCell ref="X12:AI12"/>
    <mergeCell ref="AJ12:AN12"/>
    <mergeCell ref="AO12:AS12"/>
    <mergeCell ref="AT12:AX12"/>
    <mergeCell ref="AY12:BC12"/>
    <mergeCell ref="BD12:BH12"/>
    <mergeCell ref="BI12:BM12"/>
    <mergeCell ref="CU12:CY12"/>
    <mergeCell ref="CZ12:DD12"/>
    <mergeCell ref="E2:Q3"/>
    <mergeCell ref="A11:M11"/>
    <mergeCell ref="P11:U11"/>
    <mergeCell ref="E12:G14"/>
    <mergeCell ref="I12:J12"/>
    <mergeCell ref="K12:K13"/>
    <mergeCell ref="L12:L13"/>
    <mergeCell ref="M12:M13"/>
    <mergeCell ref="P12:U12"/>
    <mergeCell ref="N11:O11"/>
    <mergeCell ref="A2:D3"/>
    <mergeCell ref="A9:U9"/>
    <mergeCell ref="A10:D10"/>
    <mergeCell ref="E10:G10"/>
    <mergeCell ref="I10:J10"/>
    <mergeCell ref="K10:L10"/>
    <mergeCell ref="N10:O10"/>
    <mergeCell ref="CA12:CT12"/>
    <mergeCell ref="A13:D14"/>
    <mergeCell ref="H13:H14"/>
    <mergeCell ref="I5:J5"/>
    <mergeCell ref="H61:I61"/>
    <mergeCell ref="H62:I62"/>
    <mergeCell ref="A4:H4"/>
    <mergeCell ref="A7:B7"/>
    <mergeCell ref="C7:D7"/>
    <mergeCell ref="E7:F7"/>
    <mergeCell ref="G7:H7"/>
    <mergeCell ref="A8:B8"/>
    <mergeCell ref="C8:D8"/>
    <mergeCell ref="E8:F8"/>
    <mergeCell ref="G8:H8"/>
    <mergeCell ref="A5:B5"/>
    <mergeCell ref="C5:D5"/>
    <mergeCell ref="E5:F5"/>
    <mergeCell ref="G5:H5"/>
    <mergeCell ref="A6:B6"/>
    <mergeCell ref="C6:D6"/>
    <mergeCell ref="E6:F6"/>
    <mergeCell ref="G6:H6"/>
    <mergeCell ref="E20:G20"/>
    <mergeCell ref="I14:M14"/>
    <mergeCell ref="E44:G44"/>
    <mergeCell ref="E33:G33"/>
  </mergeCells>
  <phoneticPr fontId="4" type="noConversion"/>
  <conditionalFormatting sqref="A15:H15 D16:H37 A16:C44 D38:E38 H38 D39:H44">
    <cfRule type="expression" dxfId="1407" priority="1" stopIfTrue="1">
      <formula>OR($C15="Normal uge 6")</formula>
    </cfRule>
    <cfRule type="expression" dxfId="1406" priority="2">
      <formula>OR($C15="Normal uge 5")</formula>
    </cfRule>
    <cfRule type="expression" dxfId="1405" priority="14" stopIfTrue="1">
      <formula>OR($C15="Rul 6")</formula>
    </cfRule>
    <cfRule type="expression" dxfId="1404" priority="15" stopIfTrue="1">
      <formula>OR($C15="Rul 5")</formula>
    </cfRule>
    <cfRule type="expression" dxfId="1403" priority="16" stopIfTrue="1">
      <formula>OR($C15="Rul 4")</formula>
    </cfRule>
    <cfRule type="expression" dxfId="1402" priority="17" stopIfTrue="1">
      <formula>OR($C15="Rul 3")</formula>
    </cfRule>
    <cfRule type="expression" dxfId="1401" priority="18" stopIfTrue="1">
      <formula>OR($C15="Rul 1")</formula>
    </cfRule>
    <cfRule type="expression" dxfId="1400" priority="19">
      <formula>OR($C15="Normal uge 1")</formula>
    </cfRule>
    <cfRule type="expression" dxfId="1399" priority="25">
      <formula>OR($C15="Orlov")</formula>
    </cfRule>
    <cfRule type="expression" dxfId="1398" priority="26">
      <formula>OR($C15="Normal uge 2")</formula>
    </cfRule>
    <cfRule type="expression" dxfId="1397" priority="27">
      <formula>OR($C15="Normal uge 3")</formula>
    </cfRule>
    <cfRule type="expression" dxfId="1396" priority="28">
      <formula>OR($C15="Normal uge 4")</formula>
    </cfRule>
    <cfRule type="expression" dxfId="1395" priority="29">
      <formula>OR($C15="Ikke relevant")</formula>
    </cfRule>
    <cfRule type="expression" dxfId="1394" priority="30">
      <formula>OR($C15="pæd.dag")</formula>
    </cfRule>
    <cfRule type="expression" dxfId="1393" priority="31">
      <formula>OR($C15="nul-dag")</formula>
    </cfRule>
    <cfRule type="expression" dxfId="1392" priority="32">
      <formula>OR($C15="SH-dag")</formula>
    </cfRule>
    <cfRule type="expression" dxfId="1391" priority="39" stopIfTrue="1">
      <formula>OR($C15="Rul 2")</formula>
    </cfRule>
    <cfRule type="expression" dxfId="1390" priority="38">
      <formula>OR($C15="weekend")</formula>
    </cfRule>
    <cfRule type="expression" dxfId="1389" priority="37">
      <formula>OR($C15="feriedag")</formula>
    </cfRule>
    <cfRule type="expression" dxfId="1388" priority="36">
      <formula>OR($C15="Ferieåbning")</formula>
    </cfRule>
    <cfRule type="expression" dxfId="1387" priority="35">
      <formula>OR($C15="Anderledes dag")</formula>
    </cfRule>
    <cfRule type="expression" dxfId="1386" priority="34">
      <formula>OR($C15="Koloni")</formula>
    </cfRule>
    <cfRule type="expression" dxfId="1385" priority="33">
      <formula>OR($C15="ekskursion")</formula>
    </cfRule>
  </conditionalFormatting>
  <conditionalFormatting sqref="E26">
    <cfRule type="expression" dxfId="1384" priority="47">
      <formula>OR($D25="feriedag")</formula>
    </cfRule>
    <cfRule type="expression" dxfId="1383" priority="48">
      <formula>OR($D25="weekend")</formula>
    </cfRule>
    <cfRule type="expression" dxfId="1382" priority="50">
      <formula>OR($D25="Ikke relevant")</formula>
    </cfRule>
    <cfRule type="expression" dxfId="1381" priority="49" stopIfTrue="1">
      <formula>OR($D25="skoledag")</formula>
    </cfRule>
    <cfRule type="expression" dxfId="1380" priority="40">
      <formula>OR($D25="pæd.dag")</formula>
    </cfRule>
    <cfRule type="expression" dxfId="1379" priority="41">
      <formula>OR($D25="nul-dag")</formula>
    </cfRule>
    <cfRule type="expression" dxfId="1378" priority="42">
      <formula>OR($D25="SH-dag")</formula>
    </cfRule>
    <cfRule type="expression" dxfId="1377" priority="43">
      <formula>OR($D25="ekskursion")</formula>
    </cfRule>
    <cfRule type="expression" dxfId="1376" priority="44">
      <formula>OR($D25="lejrskole")</formula>
    </cfRule>
    <cfRule type="expression" dxfId="1375" priority="45">
      <formula>OR($D25="emnedag")</formula>
    </cfRule>
    <cfRule type="expression" dxfId="1374" priority="46">
      <formula>OR($D25="fagdag")</formula>
    </cfRule>
  </conditionalFormatting>
  <conditionalFormatting sqref="I15:J44">
    <cfRule type="expression" dxfId="1373" priority="23">
      <formula>OR($C15="Koloni",)</formula>
    </cfRule>
    <cfRule type="expression" dxfId="1372" priority="13">
      <formula>OR($C15="Ferieåbning",)</formula>
    </cfRule>
    <cfRule type="expression" dxfId="1371" priority="12">
      <formula>OR($C15="Anderledes dag",)</formula>
    </cfRule>
    <cfRule type="expression" dxfId="1370" priority="11">
      <formula>OR($C15="Ekskursion",)</formula>
    </cfRule>
  </conditionalFormatting>
  <conditionalFormatting sqref="J15:J44">
    <cfRule type="expression" dxfId="1369" priority="24">
      <formula>OR($C15="Pæd.dag",)</formula>
    </cfRule>
  </conditionalFormatting>
  <conditionalFormatting sqref="M15:M44">
    <cfRule type="expression" dxfId="1368" priority="51">
      <formula>OR($H15&gt;"0",)</formula>
    </cfRule>
  </conditionalFormatting>
  <conditionalFormatting sqref="O15:O44">
    <cfRule type="expression" dxfId="1366" priority="8">
      <formula>OR($N15&gt;0,)</formula>
    </cfRule>
  </conditionalFormatting>
  <conditionalFormatting sqref="S15:S44">
    <cfRule type="expression" dxfId="1365" priority="22">
      <formula>OR($P15="X",)</formula>
    </cfRule>
  </conditionalFormatting>
  <conditionalFormatting sqref="T15:T44">
    <cfRule type="expression" dxfId="1364" priority="21">
      <formula>OR($Q15="X",)</formula>
    </cfRule>
  </conditionalFormatting>
  <conditionalFormatting sqref="T52:T55">
    <cfRule type="expression" dxfId="1363" priority="5">
      <formula>OR($L52&gt;0,)</formula>
    </cfRule>
  </conditionalFormatting>
  <conditionalFormatting sqref="U15:U44">
    <cfRule type="expression" dxfId="1362" priority="20">
      <formula>OR($R15="X",)</formula>
    </cfRule>
  </conditionalFormatting>
  <conditionalFormatting sqref="U52:U53 U55">
    <cfRule type="expression" dxfId="1361" priority="10">
      <formula>OR($M52&gt;0,)</formula>
    </cfRule>
  </conditionalFormatting>
  <conditionalFormatting sqref="U54:W54">
    <cfRule type="expression" dxfId="1360" priority="6">
      <formula>OR($M54&gt;0,)</formula>
    </cfRule>
  </conditionalFormatting>
  <conditionalFormatting sqref="BN55:BN57 BR58">
    <cfRule type="expression" dxfId="1359" priority="52">
      <formula>OR(#REF!&gt;0,)</formula>
    </cfRule>
  </conditionalFormatting>
  <conditionalFormatting sqref="BP54">
    <cfRule type="expression" dxfId="1358" priority="7">
      <formula>OR(#REF!&gt;0,)</formula>
    </cfRule>
  </conditionalFormatting>
  <dataValidations count="3">
    <dataValidation type="list" allowBlank="1" showInputMessage="1" sqref="C15:C44" xr:uid="{96684FAD-3EB0-F149-90E3-ABA61C55A09D}">
      <formula1>$A$59:$A$81</formula1>
    </dataValidation>
    <dataValidation type="list" allowBlank="1" showInputMessage="1" showErrorMessage="1" sqref="R15:R43 P15:Q44 L52:M53 L55:M55" xr:uid="{69AA3811-120C-A24C-8B60-D670A2DDD6F2}">
      <formula1>$Y$1:$Y$2</formula1>
    </dataValidation>
    <dataValidation type="list" allowBlank="1" showInputMessage="1" showErrorMessage="1" sqref="L54:M54" xr:uid="{2E756A26-E99E-954F-AF44-B02D55621B2C}">
      <formula1>$AA$1:$AA$2</formula1>
    </dataValidation>
  </dataValidations>
  <hyperlinks>
    <hyperlink ref="A5:B5" location="'Normal uger'!A11" display="Normale uger" xr:uid="{9169B19C-1C07-5C4F-A7A1-ACC612DF4ECF}"/>
    <hyperlink ref="C5:D5" location="Rul!B20" display="Rul" xr:uid="{7CFC4D2A-B0A3-954A-98EA-84596AB73688}"/>
    <hyperlink ref="E5:F5" location="Arbejdstidsoversigt!A19" display="Arbejdstids-oversigt" xr:uid="{75EB2DE8-B779-0844-BF5C-B7DF8B9D4B03}"/>
    <hyperlink ref="G5:H5" location="Opgørelse!B12" display="Opgørelse" xr:uid="{8D5F6CF6-24D8-1141-AD58-45B6E9BA7A77}"/>
    <hyperlink ref="A6:B6" location="August!A12" display="August" xr:uid="{88DE8E42-02E5-A742-B002-D87831AFC5BA}"/>
    <hyperlink ref="C6:D6" location="September!A8" display="September" xr:uid="{80EA2336-5010-4B46-9F74-1F24256D4829}"/>
    <hyperlink ref="E6:F6" location="Oktober!A8" display="Oktober" xr:uid="{0E96FF36-476D-114B-A88A-A26DF276CCC4}"/>
    <hyperlink ref="G6:H6" location="November!A8" display="November" xr:uid="{33410DB4-2244-3B4E-BB24-17F2E323FEE0}"/>
    <hyperlink ref="A7:B7" location="December!A8" display="December" xr:uid="{9D88EFCC-2A5C-6E46-B437-883A0B0E23F5}"/>
    <hyperlink ref="C7:D7" location="Januar!A8" display="Januar" xr:uid="{F75F8004-8E28-DB4F-8972-C0A3D98A2B31}"/>
    <hyperlink ref="E7:F7" location="Februar!A8" display="Februar" xr:uid="{A1C0A426-2FF9-EE48-AB40-E243438D6A7C}"/>
    <hyperlink ref="A8:B8" location="April!A8" display="April" xr:uid="{B1A9FC09-03CA-1D45-A488-F2C5CA911C13}"/>
    <hyperlink ref="C8:D8" location="Maj!A8" display="Maj" xr:uid="{797972CF-F4C5-AA4C-A4A3-3E03EDE62175}"/>
    <hyperlink ref="E8:F8" location="Juni!A8" display="Juni" xr:uid="{16485F32-57E7-8345-ADA4-DAA17DC852F7}"/>
    <hyperlink ref="G8:H8" location="Juli!A8" display="Juli" xr:uid="{CE1B3812-77E9-E94D-8C2D-7706DC0BE684}"/>
    <hyperlink ref="G7:H7" location="Marts!A8" display="Marts" xr:uid="{4629C075-92E2-1F4C-88F7-172600EAA7B1}"/>
    <hyperlink ref="I5:J5" location="Stamoplysninger!E18" display="Stamoplysninger" xr:uid="{0AC33BE0-8237-2944-A6A4-5AE0ED4DBCE5}"/>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49620B3A-3C62-6B42-B82D-62FD1C94EF88}">
            <xm:f>OR(Arbejdstidsoversigt!$H$54="Puljetimer registreres ikke men afvikles jævnt hen over normperioden",)</xm:f>
            <x14:dxf>
              <fill>
                <patternFill>
                  <bgColor theme="1"/>
                </patternFill>
              </fill>
            </x14:dxf>
          </x14:cfRule>
          <xm:sqref>N15:N44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A072-8036-A44B-8D21-8F2EB761FAF3}">
  <sheetPr>
    <tabColor theme="4" tint="-0.249977111117893"/>
    <pageSetUpPr fitToPage="1"/>
  </sheetPr>
  <dimension ref="A1:DQ127"/>
  <sheetViews>
    <sheetView topLeftCell="A14" zoomScaleNormal="100" workbookViewId="0">
      <selection activeCell="M21" sqref="M21"/>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8" width="0" hidden="1"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0" customHeight="1">
      <c r="A2" s="886">
        <v>10</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Oktober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August!A17</f>
        <v>2025</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120</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5" si="0">CHOOSE(MOD(WEEKDAY(DATE(A$12,A$2,A15)),7)+1,"lø","sø","ma","ti","on","to","fr",)</f>
        <v>on</v>
      </c>
      <c r="C15" s="73" t="s">
        <v>217</v>
      </c>
      <c r="D15" s="74" t="str">
        <f t="shared" ref="D15:D45"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5" si="2">IF(Q15="x",T15-L15,0)</f>
        <v>0</v>
      </c>
      <c r="X15" s="358">
        <f>IF($C$15="Anderledes dag",$I$15,0)</f>
        <v>0</v>
      </c>
      <c r="Y15" s="358">
        <f>IF(C15="Ferieåbning",I15,0)</f>
        <v>0</v>
      </c>
      <c r="Z15" s="358">
        <f t="shared" ref="Z15:Z45"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5" si="4">SUM(AJ15:AN15)*24</f>
        <v>0</v>
      </c>
      <c r="BP15" s="358">
        <f t="shared" ref="BP15:BP45" si="5">IF(C15="Anderledes dag",J15,0)</f>
        <v>0</v>
      </c>
      <c r="BQ15" s="358">
        <f>IF(C15="Ferieåbning",J15,0)</f>
        <v>0</v>
      </c>
      <c r="BR15" s="358">
        <f t="shared" ref="BR15:BR45" si="6">IF(C15="Pæd.dag",J15,0)</f>
        <v>0</v>
      </c>
      <c r="BS15" s="358">
        <f t="shared" ref="BS15:BS45" si="7">IF(C15="Ekskursion",J15,0)</f>
        <v>0</v>
      </c>
      <c r="BT15" s="358">
        <f t="shared" ref="BT15:BT45" si="8">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5" si="9">IF(AND(E15&gt;0,H15&gt;0),""&amp;E15&amp;" og "&amp;H15&amp;"","")</f>
        <v/>
      </c>
      <c r="DG15">
        <f t="shared" ref="DG15:DG45" si="10">IF(H15="",E15,"")</f>
        <v>0</v>
      </c>
      <c r="DH15">
        <f t="shared" ref="DH15:DH45" si="11">IF(E15="",H15,"")</f>
        <v>0</v>
      </c>
      <c r="DI15" t="str">
        <f t="shared" ref="DI15:DK46" si="12">IF(DF15=0,"",DF15)</f>
        <v/>
      </c>
      <c r="DJ15" t="str">
        <f>IF(DG15=0,"",DG15)</f>
        <v/>
      </c>
      <c r="DK15" t="str">
        <f>IF(DH15=0,"",DH15)</f>
        <v/>
      </c>
      <c r="DL15" t="str">
        <f>DI15&amp;""&amp;DJ15&amp;""&amp;DK15</f>
        <v/>
      </c>
    </row>
    <row r="16" spans="1:116">
      <c r="A16" s="135">
        <f t="shared" ref="A16:A44" si="13">IF(ISNUMBER(A15),A15+1,1)</f>
        <v>2</v>
      </c>
      <c r="B16" s="72" t="str">
        <f t="shared" si="0"/>
        <v>to</v>
      </c>
      <c r="C16" s="73" t="s">
        <v>217</v>
      </c>
      <c r="D16" s="74" t="str">
        <f t="shared" si="1"/>
        <v/>
      </c>
      <c r="E16" s="858"/>
      <c r="F16" s="859"/>
      <c r="G16" s="860"/>
      <c r="H16" s="175"/>
      <c r="I16" s="221"/>
      <c r="J16" s="221"/>
      <c r="K16" s="191">
        <f t="shared" ref="K16:K45" si="14">BN16</f>
        <v>0</v>
      </c>
      <c r="L16" s="191">
        <f t="shared" ref="L16:L45" si="15">DE16</f>
        <v>0</v>
      </c>
      <c r="M16" s="238"/>
      <c r="N16" s="357"/>
      <c r="O16" s="408"/>
      <c r="P16" s="195"/>
      <c r="Q16" s="196"/>
      <c r="R16" s="196"/>
      <c r="S16" s="192"/>
      <c r="T16" s="255"/>
      <c r="U16" s="193"/>
      <c r="V16">
        <f t="shared" ref="V16:V45" si="16">IF(P16="x",S16-K16,0)</f>
        <v>0</v>
      </c>
      <c r="W16">
        <f t="shared" si="2"/>
        <v>0</v>
      </c>
      <c r="X16" s="358">
        <f t="shared" ref="X16:X45" si="17">IF(C16="Anderledes dag",I16,0)</f>
        <v>0</v>
      </c>
      <c r="Y16" s="358">
        <f t="shared" ref="Y16:Y45" si="18">IF(C16="Ferieåbning",I16,0)</f>
        <v>0</v>
      </c>
      <c r="Z16" s="358">
        <f t="shared" si="3"/>
        <v>0</v>
      </c>
      <c r="AA16" s="358">
        <f t="shared" ref="AA16:AA45" si="19">IF(C16="Ekskursion",I16,0)</f>
        <v>0</v>
      </c>
      <c r="AB16" s="358">
        <f t="shared" ref="AB16:AB45" si="20">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1">SUM(X16:BM16)</f>
        <v>0</v>
      </c>
      <c r="BO16" s="125">
        <f t="shared" si="4"/>
        <v>0</v>
      </c>
      <c r="BP16" s="358">
        <f t="shared" si="5"/>
        <v>0</v>
      </c>
      <c r="BQ16" s="358">
        <f t="shared" ref="BQ16:BQ45" si="22">IF(C16="Ferieåbning",J16,0)</f>
        <v>0</v>
      </c>
      <c r="BR16" s="358">
        <f t="shared" si="6"/>
        <v>0</v>
      </c>
      <c r="BS16" s="358">
        <f t="shared" si="7"/>
        <v>0</v>
      </c>
      <c r="BT16" s="358">
        <f t="shared" si="8"/>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5" si="23">SUM(BP16:DD16)</f>
        <v>0</v>
      </c>
      <c r="DF16" t="str">
        <f t="shared" si="9"/>
        <v/>
      </c>
      <c r="DG16">
        <f t="shared" si="10"/>
        <v>0</v>
      </c>
      <c r="DH16">
        <f t="shared" si="11"/>
        <v>0</v>
      </c>
      <c r="DI16" t="str">
        <f t="shared" si="12"/>
        <v/>
      </c>
      <c r="DJ16" t="str">
        <f t="shared" si="12"/>
        <v/>
      </c>
      <c r="DK16" t="str">
        <f t="shared" si="12"/>
        <v/>
      </c>
      <c r="DL16" t="str">
        <f t="shared" ref="DL16:DL45" si="24">DI16&amp;""&amp;DJ16&amp;""&amp;DK16</f>
        <v/>
      </c>
    </row>
    <row r="17" spans="1:116">
      <c r="A17" s="135">
        <f t="shared" si="13"/>
        <v>3</v>
      </c>
      <c r="B17" s="72" t="str">
        <f t="shared" si="0"/>
        <v>fr</v>
      </c>
      <c r="C17" s="73" t="s">
        <v>217</v>
      </c>
      <c r="D17" s="74" t="str">
        <f t="shared" si="1"/>
        <v/>
      </c>
      <c r="E17" s="858"/>
      <c r="F17" s="859"/>
      <c r="G17" s="860"/>
      <c r="H17" s="175"/>
      <c r="I17" s="221"/>
      <c r="J17" s="221"/>
      <c r="K17" s="191">
        <f t="shared" si="14"/>
        <v>0</v>
      </c>
      <c r="L17" s="191">
        <f t="shared" si="15"/>
        <v>0</v>
      </c>
      <c r="M17" s="238"/>
      <c r="N17" s="357"/>
      <c r="O17" s="408"/>
      <c r="P17" s="195"/>
      <c r="Q17" s="196"/>
      <c r="R17" s="196"/>
      <c r="S17" s="192"/>
      <c r="T17" s="255"/>
      <c r="U17" s="193"/>
      <c r="V17">
        <f t="shared" si="16"/>
        <v>0</v>
      </c>
      <c r="W17">
        <f t="shared" si="2"/>
        <v>0</v>
      </c>
      <c r="X17" s="358">
        <f t="shared" si="17"/>
        <v>0</v>
      </c>
      <c r="Y17" s="358">
        <f t="shared" si="18"/>
        <v>0</v>
      </c>
      <c r="Z17" s="358">
        <f t="shared" si="3"/>
        <v>0</v>
      </c>
      <c r="AA17" s="358">
        <f t="shared" si="19"/>
        <v>0</v>
      </c>
      <c r="AB17" s="358">
        <f t="shared" si="20"/>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1"/>
        <v>0</v>
      </c>
      <c r="BO17" s="125">
        <f t="shared" si="4"/>
        <v>0</v>
      </c>
      <c r="BP17" s="358">
        <f t="shared" si="5"/>
        <v>0</v>
      </c>
      <c r="BQ17" s="358">
        <f t="shared" si="22"/>
        <v>0</v>
      </c>
      <c r="BR17" s="358">
        <f t="shared" si="6"/>
        <v>0</v>
      </c>
      <c r="BS17" s="358">
        <f t="shared" si="7"/>
        <v>0</v>
      </c>
      <c r="BT17" s="358">
        <f t="shared" si="8"/>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4</v>
      </c>
      <c r="B18" s="72" t="str">
        <f t="shared" si="0"/>
        <v>lø</v>
      </c>
      <c r="C18" s="73" t="s">
        <v>77</v>
      </c>
      <c r="D18" s="74" t="str">
        <f t="shared" si="1"/>
        <v/>
      </c>
      <c r="E18" s="858"/>
      <c r="F18" s="859"/>
      <c r="G18" s="860"/>
      <c r="H18" s="175"/>
      <c r="I18" s="221"/>
      <c r="J18" s="221"/>
      <c r="K18" s="191">
        <f t="shared" si="14"/>
        <v>0</v>
      </c>
      <c r="L18" s="191">
        <f t="shared" si="15"/>
        <v>0</v>
      </c>
      <c r="M18" s="238"/>
      <c r="N18" s="357"/>
      <c r="O18" s="408"/>
      <c r="P18" s="195"/>
      <c r="Q18" s="196"/>
      <c r="R18" s="196"/>
      <c r="S18" s="192"/>
      <c r="T18" s="255"/>
      <c r="U18" s="193"/>
      <c r="V18">
        <f t="shared" si="16"/>
        <v>0</v>
      </c>
      <c r="W18">
        <f t="shared" si="2"/>
        <v>0</v>
      </c>
      <c r="X18" s="358">
        <f t="shared" si="17"/>
        <v>0</v>
      </c>
      <c r="Y18" s="358">
        <f t="shared" si="18"/>
        <v>0</v>
      </c>
      <c r="Z18" s="358">
        <f t="shared" si="3"/>
        <v>0</v>
      </c>
      <c r="AA18" s="358">
        <f t="shared" si="19"/>
        <v>0</v>
      </c>
      <c r="AB18" s="358">
        <f t="shared" si="20"/>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1"/>
        <v>0</v>
      </c>
      <c r="BO18" s="125">
        <f t="shared" si="4"/>
        <v>0</v>
      </c>
      <c r="BP18" s="358">
        <f t="shared" si="5"/>
        <v>0</v>
      </c>
      <c r="BQ18" s="358">
        <f t="shared" si="22"/>
        <v>0</v>
      </c>
      <c r="BR18" s="358">
        <f t="shared" si="6"/>
        <v>0</v>
      </c>
      <c r="BS18" s="358">
        <f t="shared" si="7"/>
        <v>0</v>
      </c>
      <c r="BT18" s="358">
        <f t="shared" si="8"/>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5</v>
      </c>
      <c r="B19" s="72" t="str">
        <f t="shared" si="0"/>
        <v>sø</v>
      </c>
      <c r="C19" s="73" t="s">
        <v>77</v>
      </c>
      <c r="D19" s="74" t="str">
        <f t="shared" si="1"/>
        <v/>
      </c>
      <c r="E19" s="858"/>
      <c r="F19" s="859"/>
      <c r="G19" s="860"/>
      <c r="H19" s="175"/>
      <c r="I19" s="221"/>
      <c r="J19" s="221"/>
      <c r="K19" s="191">
        <f t="shared" si="14"/>
        <v>0</v>
      </c>
      <c r="L19" s="191">
        <f t="shared" si="15"/>
        <v>0</v>
      </c>
      <c r="M19" s="238"/>
      <c r="N19" s="357"/>
      <c r="O19" s="408"/>
      <c r="P19" s="195"/>
      <c r="Q19" s="196"/>
      <c r="R19" s="196"/>
      <c r="S19" s="192"/>
      <c r="T19" s="255"/>
      <c r="U19" s="193"/>
      <c r="V19">
        <f t="shared" si="16"/>
        <v>0</v>
      </c>
      <c r="W19">
        <f t="shared" si="2"/>
        <v>0</v>
      </c>
      <c r="X19" s="358">
        <f t="shared" si="17"/>
        <v>0</v>
      </c>
      <c r="Y19" s="358">
        <f t="shared" si="18"/>
        <v>0</v>
      </c>
      <c r="Z19" s="358">
        <f t="shared" si="3"/>
        <v>0</v>
      </c>
      <c r="AA19" s="358">
        <f t="shared" si="19"/>
        <v>0</v>
      </c>
      <c r="AB19" s="358">
        <f t="shared" si="20"/>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1"/>
        <v>0</v>
      </c>
      <c r="BO19" s="125">
        <f t="shared" si="4"/>
        <v>0</v>
      </c>
      <c r="BP19" s="358">
        <f t="shared" si="5"/>
        <v>0</v>
      </c>
      <c r="BQ19" s="358">
        <f t="shared" si="22"/>
        <v>0</v>
      </c>
      <c r="BR19" s="358">
        <f t="shared" si="6"/>
        <v>0</v>
      </c>
      <c r="BS19" s="358">
        <f t="shared" si="7"/>
        <v>0</v>
      </c>
      <c r="BT19" s="358">
        <f t="shared" si="8"/>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9"/>
        <v/>
      </c>
      <c r="DG19">
        <f t="shared" si="10"/>
        <v>0</v>
      </c>
      <c r="DH19">
        <f t="shared" si="11"/>
        <v>0</v>
      </c>
      <c r="DI19" t="str">
        <f t="shared" si="12"/>
        <v/>
      </c>
      <c r="DJ19" t="str">
        <f t="shared" si="12"/>
        <v/>
      </c>
      <c r="DK19" t="str">
        <f t="shared" si="12"/>
        <v/>
      </c>
      <c r="DL19" t="str">
        <f t="shared" si="24"/>
        <v/>
      </c>
    </row>
    <row r="20" spans="1:116" ht="16" customHeight="1">
      <c r="A20" s="135">
        <f t="shared" si="13"/>
        <v>6</v>
      </c>
      <c r="B20" s="72" t="str">
        <f t="shared" si="0"/>
        <v>ma</v>
      </c>
      <c r="C20" s="73" t="s">
        <v>217</v>
      </c>
      <c r="D20" s="74">
        <f t="shared" si="1"/>
        <v>40.714285714285715</v>
      </c>
      <c r="E20" s="858"/>
      <c r="F20" s="859"/>
      <c r="G20" s="860"/>
      <c r="H20" s="175"/>
      <c r="I20" s="221"/>
      <c r="J20" s="221"/>
      <c r="K20" s="191">
        <f t="shared" si="14"/>
        <v>0</v>
      </c>
      <c r="L20" s="191">
        <f t="shared" si="15"/>
        <v>0</v>
      </c>
      <c r="M20" s="238"/>
      <c r="N20" s="357"/>
      <c r="O20" s="408"/>
      <c r="P20" s="195"/>
      <c r="Q20" s="196"/>
      <c r="R20" s="196"/>
      <c r="S20" s="192"/>
      <c r="T20" s="255"/>
      <c r="U20" s="193"/>
      <c r="V20">
        <f t="shared" si="16"/>
        <v>0</v>
      </c>
      <c r="W20">
        <f t="shared" si="2"/>
        <v>0</v>
      </c>
      <c r="X20" s="358">
        <f t="shared" si="17"/>
        <v>0</v>
      </c>
      <c r="Y20" s="358">
        <f t="shared" si="18"/>
        <v>0</v>
      </c>
      <c r="Z20" s="358">
        <f t="shared" si="3"/>
        <v>0</v>
      </c>
      <c r="AA20" s="358">
        <f t="shared" si="19"/>
        <v>0</v>
      </c>
      <c r="AB20" s="358">
        <f t="shared" si="20"/>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1"/>
        <v>0</v>
      </c>
      <c r="BO20" s="125">
        <f t="shared" si="4"/>
        <v>0</v>
      </c>
      <c r="BP20" s="358">
        <f t="shared" si="5"/>
        <v>0</v>
      </c>
      <c r="BQ20" s="358">
        <f t="shared" si="22"/>
        <v>0</v>
      </c>
      <c r="BR20" s="358">
        <f t="shared" si="6"/>
        <v>0</v>
      </c>
      <c r="BS20" s="358">
        <f t="shared" si="7"/>
        <v>0</v>
      </c>
      <c r="BT20" s="358">
        <f t="shared" si="8"/>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9"/>
        <v/>
      </c>
      <c r="DG20">
        <f t="shared" si="10"/>
        <v>0</v>
      </c>
      <c r="DH20">
        <f t="shared" si="11"/>
        <v>0</v>
      </c>
      <c r="DI20" t="str">
        <f t="shared" si="12"/>
        <v/>
      </c>
      <c r="DJ20" t="str">
        <f t="shared" si="12"/>
        <v/>
      </c>
      <c r="DK20" t="str">
        <f t="shared" si="12"/>
        <v/>
      </c>
      <c r="DL20" t="str">
        <f t="shared" si="24"/>
        <v/>
      </c>
    </row>
    <row r="21" spans="1:116" ht="16" customHeight="1">
      <c r="A21" s="135">
        <f t="shared" si="13"/>
        <v>7</v>
      </c>
      <c r="B21" s="72" t="str">
        <f t="shared" si="0"/>
        <v>ti</v>
      </c>
      <c r="C21" s="73" t="s">
        <v>217</v>
      </c>
      <c r="D21" s="74" t="str">
        <f t="shared" si="1"/>
        <v/>
      </c>
      <c r="E21" s="858"/>
      <c r="F21" s="859"/>
      <c r="G21" s="860"/>
      <c r="H21" s="175"/>
      <c r="I21" s="221"/>
      <c r="J21" s="221"/>
      <c r="K21" s="191">
        <f t="shared" si="14"/>
        <v>0</v>
      </c>
      <c r="L21" s="191">
        <f t="shared" si="15"/>
        <v>0</v>
      </c>
      <c r="M21" s="238"/>
      <c r="N21" s="357"/>
      <c r="O21" s="408"/>
      <c r="P21" s="195"/>
      <c r="Q21" s="196"/>
      <c r="R21" s="196"/>
      <c r="S21" s="192"/>
      <c r="T21" s="255"/>
      <c r="U21" s="193"/>
      <c r="V21">
        <f t="shared" si="16"/>
        <v>0</v>
      </c>
      <c r="W21">
        <f t="shared" si="2"/>
        <v>0</v>
      </c>
      <c r="X21" s="358">
        <f t="shared" si="17"/>
        <v>0</v>
      </c>
      <c r="Y21" s="358">
        <f t="shared" si="18"/>
        <v>0</v>
      </c>
      <c r="Z21" s="358">
        <f t="shared" si="3"/>
        <v>0</v>
      </c>
      <c r="AA21" s="358">
        <f t="shared" si="19"/>
        <v>0</v>
      </c>
      <c r="AB21" s="358">
        <f t="shared" si="20"/>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1"/>
        <v>0</v>
      </c>
      <c r="BO21" s="125">
        <f t="shared" si="4"/>
        <v>0</v>
      </c>
      <c r="BP21" s="358">
        <f t="shared" si="5"/>
        <v>0</v>
      </c>
      <c r="BQ21" s="358">
        <f t="shared" si="22"/>
        <v>0</v>
      </c>
      <c r="BR21" s="358">
        <f t="shared" si="6"/>
        <v>0</v>
      </c>
      <c r="BS21" s="358">
        <f t="shared" si="7"/>
        <v>0</v>
      </c>
      <c r="BT21" s="358">
        <f t="shared" si="8"/>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 t="shared" si="13"/>
        <v>8</v>
      </c>
      <c r="B22" s="72" t="str">
        <f t="shared" si="0"/>
        <v>on</v>
      </c>
      <c r="C22" s="73" t="s">
        <v>217</v>
      </c>
      <c r="D22" s="74" t="str">
        <f t="shared" si="1"/>
        <v/>
      </c>
      <c r="E22" s="858"/>
      <c r="F22" s="859"/>
      <c r="G22" s="860"/>
      <c r="H22" s="175"/>
      <c r="I22" s="221"/>
      <c r="J22" s="221"/>
      <c r="K22" s="191">
        <f t="shared" si="14"/>
        <v>0</v>
      </c>
      <c r="L22" s="191">
        <f t="shared" si="15"/>
        <v>0</v>
      </c>
      <c r="M22" s="238"/>
      <c r="N22" s="357"/>
      <c r="O22" s="408"/>
      <c r="P22" s="195"/>
      <c r="Q22" s="196"/>
      <c r="R22" s="196"/>
      <c r="S22" s="192"/>
      <c r="T22" s="255"/>
      <c r="U22" s="193"/>
      <c r="V22">
        <f t="shared" si="16"/>
        <v>0</v>
      </c>
      <c r="W22">
        <f t="shared" si="2"/>
        <v>0</v>
      </c>
      <c r="X22" s="358">
        <f t="shared" si="17"/>
        <v>0</v>
      </c>
      <c r="Y22" s="358">
        <f t="shared" si="18"/>
        <v>0</v>
      </c>
      <c r="Z22" s="358">
        <f t="shared" si="3"/>
        <v>0</v>
      </c>
      <c r="AA22" s="358">
        <f t="shared" si="19"/>
        <v>0</v>
      </c>
      <c r="AB22" s="358">
        <f t="shared" si="20"/>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1"/>
        <v>0</v>
      </c>
      <c r="BO22" s="125">
        <f t="shared" si="4"/>
        <v>0</v>
      </c>
      <c r="BP22" s="358">
        <f t="shared" si="5"/>
        <v>0</v>
      </c>
      <c r="BQ22" s="358">
        <f t="shared" si="22"/>
        <v>0</v>
      </c>
      <c r="BR22" s="358">
        <f t="shared" si="6"/>
        <v>0</v>
      </c>
      <c r="BS22" s="358">
        <f t="shared" si="7"/>
        <v>0</v>
      </c>
      <c r="BT22" s="358">
        <f t="shared" si="8"/>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9</v>
      </c>
      <c r="B23" s="72" t="str">
        <f t="shared" si="0"/>
        <v>to</v>
      </c>
      <c r="C23" s="73" t="s">
        <v>217</v>
      </c>
      <c r="D23" s="74" t="str">
        <f t="shared" si="1"/>
        <v/>
      </c>
      <c r="E23" s="858"/>
      <c r="F23" s="859"/>
      <c r="G23" s="860"/>
      <c r="H23" s="175"/>
      <c r="I23" s="221"/>
      <c r="J23" s="221"/>
      <c r="K23" s="191">
        <f t="shared" si="14"/>
        <v>0</v>
      </c>
      <c r="L23" s="191">
        <f t="shared" si="15"/>
        <v>0</v>
      </c>
      <c r="M23" s="238"/>
      <c r="N23" s="357"/>
      <c r="O23" s="408"/>
      <c r="P23" s="195"/>
      <c r="Q23" s="196"/>
      <c r="R23" s="196"/>
      <c r="S23" s="192"/>
      <c r="T23" s="255"/>
      <c r="U23" s="193"/>
      <c r="V23">
        <f t="shared" si="16"/>
        <v>0</v>
      </c>
      <c r="W23">
        <f t="shared" si="2"/>
        <v>0</v>
      </c>
      <c r="X23" s="358">
        <f t="shared" si="17"/>
        <v>0</v>
      </c>
      <c r="Y23" s="358">
        <f t="shared" si="18"/>
        <v>0</v>
      </c>
      <c r="Z23" s="358">
        <f t="shared" si="3"/>
        <v>0</v>
      </c>
      <c r="AA23" s="358">
        <f t="shared" si="19"/>
        <v>0</v>
      </c>
      <c r="AB23" s="358">
        <f t="shared" si="20"/>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1"/>
        <v>0</v>
      </c>
      <c r="BO23" s="125">
        <f t="shared" si="4"/>
        <v>0</v>
      </c>
      <c r="BP23" s="358">
        <f t="shared" si="5"/>
        <v>0</v>
      </c>
      <c r="BQ23" s="358">
        <f t="shared" si="22"/>
        <v>0</v>
      </c>
      <c r="BR23" s="358">
        <f t="shared" si="6"/>
        <v>0</v>
      </c>
      <c r="BS23" s="358">
        <f t="shared" si="7"/>
        <v>0</v>
      </c>
      <c r="BT23" s="358">
        <f t="shared" si="8"/>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10</v>
      </c>
      <c r="B24" s="72" t="str">
        <f t="shared" si="0"/>
        <v>fr</v>
      </c>
      <c r="C24" s="73" t="s">
        <v>217</v>
      </c>
      <c r="D24" s="74" t="str">
        <f t="shared" si="1"/>
        <v/>
      </c>
      <c r="E24" s="858"/>
      <c r="F24" s="859"/>
      <c r="G24" s="860"/>
      <c r="H24" s="175"/>
      <c r="I24" s="221"/>
      <c r="J24" s="221"/>
      <c r="K24" s="191">
        <f t="shared" si="14"/>
        <v>0</v>
      </c>
      <c r="L24" s="191">
        <f t="shared" si="15"/>
        <v>0</v>
      </c>
      <c r="M24" s="238"/>
      <c r="N24" s="357"/>
      <c r="O24" s="408"/>
      <c r="P24" s="195"/>
      <c r="Q24" s="196"/>
      <c r="R24" s="196"/>
      <c r="S24" s="192"/>
      <c r="T24" s="255"/>
      <c r="U24" s="193"/>
      <c r="V24">
        <f t="shared" si="16"/>
        <v>0</v>
      </c>
      <c r="W24">
        <f t="shared" si="2"/>
        <v>0</v>
      </c>
      <c r="X24" s="358">
        <f t="shared" si="17"/>
        <v>0</v>
      </c>
      <c r="Y24" s="358">
        <f t="shared" si="18"/>
        <v>0</v>
      </c>
      <c r="Z24" s="358">
        <f t="shared" si="3"/>
        <v>0</v>
      </c>
      <c r="AA24" s="358">
        <f t="shared" si="19"/>
        <v>0</v>
      </c>
      <c r="AB24" s="358">
        <f t="shared" si="20"/>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1"/>
        <v>0</v>
      </c>
      <c r="BO24" s="125">
        <f t="shared" si="4"/>
        <v>0</v>
      </c>
      <c r="BP24" s="358">
        <f t="shared" si="5"/>
        <v>0</v>
      </c>
      <c r="BQ24" s="358">
        <f t="shared" si="22"/>
        <v>0</v>
      </c>
      <c r="BR24" s="358">
        <f t="shared" si="6"/>
        <v>0</v>
      </c>
      <c r="BS24" s="358">
        <f t="shared" si="7"/>
        <v>0</v>
      </c>
      <c r="BT24" s="358">
        <f t="shared" si="8"/>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 t="shared" si="13"/>
        <v>11</v>
      </c>
      <c r="B25" s="72" t="str">
        <f t="shared" si="0"/>
        <v>lø</v>
      </c>
      <c r="C25" s="73" t="s">
        <v>77</v>
      </c>
      <c r="D25" s="74" t="str">
        <f t="shared" si="1"/>
        <v/>
      </c>
      <c r="E25" s="858"/>
      <c r="F25" s="859"/>
      <c r="G25" s="860"/>
      <c r="H25" s="175"/>
      <c r="I25" s="221"/>
      <c r="J25" s="221"/>
      <c r="K25" s="191">
        <f t="shared" si="14"/>
        <v>0</v>
      </c>
      <c r="L25" s="191">
        <f t="shared" si="15"/>
        <v>0</v>
      </c>
      <c r="M25" s="238"/>
      <c r="N25" s="357"/>
      <c r="O25" s="408"/>
      <c r="P25" s="195"/>
      <c r="Q25" s="196"/>
      <c r="R25" s="196"/>
      <c r="S25" s="192"/>
      <c r="T25" s="255"/>
      <c r="U25" s="193"/>
      <c r="V25">
        <f t="shared" si="16"/>
        <v>0</v>
      </c>
      <c r="W25">
        <f t="shared" si="2"/>
        <v>0</v>
      </c>
      <c r="X25" s="358">
        <f t="shared" si="17"/>
        <v>0</v>
      </c>
      <c r="Y25" s="358">
        <f t="shared" si="18"/>
        <v>0</v>
      </c>
      <c r="Z25" s="358">
        <f t="shared" si="3"/>
        <v>0</v>
      </c>
      <c r="AA25" s="358">
        <f t="shared" si="19"/>
        <v>0</v>
      </c>
      <c r="AB25" s="358">
        <f t="shared" si="20"/>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1"/>
        <v>0</v>
      </c>
      <c r="BO25" s="125">
        <f t="shared" si="4"/>
        <v>0</v>
      </c>
      <c r="BP25" s="358">
        <f t="shared" si="5"/>
        <v>0</v>
      </c>
      <c r="BQ25" s="358">
        <f t="shared" si="22"/>
        <v>0</v>
      </c>
      <c r="BR25" s="358">
        <f t="shared" si="6"/>
        <v>0</v>
      </c>
      <c r="BS25" s="358">
        <f t="shared" si="7"/>
        <v>0</v>
      </c>
      <c r="BT25" s="358">
        <f t="shared" si="8"/>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IF(ISNUMBER(A25),A25+1,1)</f>
        <v>12</v>
      </c>
      <c r="B26" s="72" t="str">
        <f t="shared" si="0"/>
        <v>sø</v>
      </c>
      <c r="C26" s="73" t="s">
        <v>77</v>
      </c>
      <c r="D26" s="74" t="str">
        <f t="shared" si="1"/>
        <v/>
      </c>
      <c r="E26" s="858"/>
      <c r="F26" s="859"/>
      <c r="G26" s="860"/>
      <c r="H26" s="175"/>
      <c r="I26" s="221"/>
      <c r="J26" s="221"/>
      <c r="K26" s="191">
        <f t="shared" si="14"/>
        <v>0</v>
      </c>
      <c r="L26" s="191">
        <f t="shared" si="15"/>
        <v>0</v>
      </c>
      <c r="M26" s="238"/>
      <c r="N26" s="357"/>
      <c r="O26" s="408"/>
      <c r="P26" s="195"/>
      <c r="Q26" s="196"/>
      <c r="R26" s="196"/>
      <c r="S26" s="192"/>
      <c r="T26" s="255"/>
      <c r="U26" s="193"/>
      <c r="V26">
        <f t="shared" si="16"/>
        <v>0</v>
      </c>
      <c r="W26">
        <f t="shared" si="2"/>
        <v>0</v>
      </c>
      <c r="X26" s="358">
        <f t="shared" si="17"/>
        <v>0</v>
      </c>
      <c r="Y26" s="358">
        <f t="shared" si="18"/>
        <v>0</v>
      </c>
      <c r="Z26" s="358">
        <f t="shared" si="3"/>
        <v>0</v>
      </c>
      <c r="AA26" s="358">
        <f t="shared" si="19"/>
        <v>0</v>
      </c>
      <c r="AB26" s="358">
        <f t="shared" si="20"/>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1"/>
        <v>0</v>
      </c>
      <c r="BO26" s="125">
        <f t="shared" si="4"/>
        <v>0</v>
      </c>
      <c r="BP26" s="358">
        <f t="shared" si="5"/>
        <v>0</v>
      </c>
      <c r="BQ26" s="358">
        <f t="shared" si="22"/>
        <v>0</v>
      </c>
      <c r="BR26" s="358">
        <f t="shared" si="6"/>
        <v>0</v>
      </c>
      <c r="BS26" s="358">
        <f t="shared" si="7"/>
        <v>0</v>
      </c>
      <c r="BT26" s="358">
        <f t="shared" si="8"/>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IF(ISNUMBER(A26),A26+1,1)</f>
        <v>13</v>
      </c>
      <c r="B27" s="72" t="str">
        <f t="shared" si="0"/>
        <v>ma</v>
      </c>
      <c r="C27" s="73" t="s">
        <v>217</v>
      </c>
      <c r="D27" s="74">
        <f t="shared" si="1"/>
        <v>41.714285714285715</v>
      </c>
      <c r="E27" s="861"/>
      <c r="F27" s="862"/>
      <c r="G27" s="863"/>
      <c r="H27" s="174"/>
      <c r="I27" s="221"/>
      <c r="J27" s="221"/>
      <c r="K27" s="191">
        <f t="shared" si="14"/>
        <v>0</v>
      </c>
      <c r="L27" s="191">
        <f t="shared" si="15"/>
        <v>0</v>
      </c>
      <c r="M27" s="238"/>
      <c r="N27" s="357"/>
      <c r="O27" s="408"/>
      <c r="P27" s="195"/>
      <c r="Q27" s="196"/>
      <c r="R27" s="196"/>
      <c r="S27" s="192"/>
      <c r="T27" s="255"/>
      <c r="U27" s="193"/>
      <c r="V27">
        <f t="shared" si="16"/>
        <v>0</v>
      </c>
      <c r="W27">
        <f t="shared" si="2"/>
        <v>0</v>
      </c>
      <c r="X27" s="358">
        <f t="shared" si="17"/>
        <v>0</v>
      </c>
      <c r="Y27" s="358">
        <f t="shared" si="18"/>
        <v>0</v>
      </c>
      <c r="Z27" s="358">
        <f t="shared" si="3"/>
        <v>0</v>
      </c>
      <c r="AA27" s="358">
        <f t="shared" si="19"/>
        <v>0</v>
      </c>
      <c r="AB27" s="358">
        <f t="shared" si="20"/>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1"/>
        <v>0</v>
      </c>
      <c r="BO27" s="125">
        <f t="shared" si="4"/>
        <v>0</v>
      </c>
      <c r="BP27" s="358">
        <f t="shared" si="5"/>
        <v>0</v>
      </c>
      <c r="BQ27" s="358">
        <f t="shared" si="22"/>
        <v>0</v>
      </c>
      <c r="BR27" s="358">
        <f t="shared" si="6"/>
        <v>0</v>
      </c>
      <c r="BS27" s="358">
        <f t="shared" si="7"/>
        <v>0</v>
      </c>
      <c r="BT27" s="358">
        <f t="shared" si="8"/>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14</v>
      </c>
      <c r="B28" s="72" t="str">
        <f t="shared" si="0"/>
        <v>ti</v>
      </c>
      <c r="C28" s="73" t="s">
        <v>217</v>
      </c>
      <c r="D28" s="74" t="str">
        <f t="shared" si="1"/>
        <v/>
      </c>
      <c r="E28" s="861"/>
      <c r="F28" s="862"/>
      <c r="G28" s="863"/>
      <c r="H28" s="174"/>
      <c r="I28" s="221"/>
      <c r="J28" s="221"/>
      <c r="K28" s="191">
        <f t="shared" si="14"/>
        <v>0</v>
      </c>
      <c r="L28" s="191">
        <f t="shared" si="15"/>
        <v>0</v>
      </c>
      <c r="M28" s="238"/>
      <c r="N28" s="357"/>
      <c r="O28" s="408"/>
      <c r="P28" s="195"/>
      <c r="Q28" s="196"/>
      <c r="R28" s="196"/>
      <c r="S28" s="192"/>
      <c r="T28" s="255"/>
      <c r="U28" s="193"/>
      <c r="V28">
        <f t="shared" si="16"/>
        <v>0</v>
      </c>
      <c r="W28">
        <f t="shared" si="2"/>
        <v>0</v>
      </c>
      <c r="X28" s="358">
        <f t="shared" si="17"/>
        <v>0</v>
      </c>
      <c r="Y28" s="358">
        <f t="shared" si="18"/>
        <v>0</v>
      </c>
      <c r="Z28" s="358">
        <f t="shared" si="3"/>
        <v>0</v>
      </c>
      <c r="AA28" s="358">
        <f t="shared" si="19"/>
        <v>0</v>
      </c>
      <c r="AB28" s="358">
        <f t="shared" si="20"/>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1"/>
        <v>0</v>
      </c>
      <c r="BO28" s="125">
        <f t="shared" si="4"/>
        <v>0</v>
      </c>
      <c r="BP28" s="358">
        <f t="shared" si="5"/>
        <v>0</v>
      </c>
      <c r="BQ28" s="358">
        <f t="shared" si="22"/>
        <v>0</v>
      </c>
      <c r="BR28" s="358">
        <f t="shared" si="6"/>
        <v>0</v>
      </c>
      <c r="BS28" s="358">
        <f t="shared" si="7"/>
        <v>0</v>
      </c>
      <c r="BT28" s="358">
        <f t="shared" si="8"/>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15</v>
      </c>
      <c r="B29" s="72" t="str">
        <f t="shared" si="0"/>
        <v>on</v>
      </c>
      <c r="C29" s="73" t="s">
        <v>217</v>
      </c>
      <c r="D29" s="74" t="str">
        <f t="shared" si="1"/>
        <v/>
      </c>
      <c r="E29" s="861"/>
      <c r="F29" s="862"/>
      <c r="G29" s="863"/>
      <c r="H29" s="174"/>
      <c r="I29" s="221"/>
      <c r="J29" s="221"/>
      <c r="K29" s="191">
        <f t="shared" si="14"/>
        <v>0</v>
      </c>
      <c r="L29" s="191">
        <f t="shared" si="15"/>
        <v>0</v>
      </c>
      <c r="M29" s="238"/>
      <c r="N29" s="357"/>
      <c r="O29" s="408"/>
      <c r="P29" s="195"/>
      <c r="Q29" s="196"/>
      <c r="R29" s="196"/>
      <c r="S29" s="192"/>
      <c r="T29" s="255"/>
      <c r="U29" s="193"/>
      <c r="V29">
        <f t="shared" si="16"/>
        <v>0</v>
      </c>
      <c r="W29">
        <f t="shared" si="2"/>
        <v>0</v>
      </c>
      <c r="X29" s="358">
        <f t="shared" si="17"/>
        <v>0</v>
      </c>
      <c r="Y29" s="358">
        <f t="shared" si="18"/>
        <v>0</v>
      </c>
      <c r="Z29" s="358">
        <f t="shared" si="3"/>
        <v>0</v>
      </c>
      <c r="AA29" s="358">
        <f t="shared" si="19"/>
        <v>0</v>
      </c>
      <c r="AB29" s="358">
        <f t="shared" si="20"/>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1"/>
        <v>0</v>
      </c>
      <c r="BO29" s="125">
        <f t="shared" si="4"/>
        <v>0</v>
      </c>
      <c r="BP29" s="358">
        <f t="shared" si="5"/>
        <v>0</v>
      </c>
      <c r="BQ29" s="358">
        <f t="shared" si="22"/>
        <v>0</v>
      </c>
      <c r="BR29" s="358">
        <f t="shared" si="6"/>
        <v>0</v>
      </c>
      <c r="BS29" s="358">
        <f t="shared" si="7"/>
        <v>0</v>
      </c>
      <c r="BT29" s="358">
        <f t="shared" si="8"/>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IF(ISNUMBER(A29),A29+1,1)</f>
        <v>16</v>
      </c>
      <c r="B30" s="72" t="str">
        <f t="shared" si="0"/>
        <v>to</v>
      </c>
      <c r="C30" s="73" t="s">
        <v>217</v>
      </c>
      <c r="D30" s="74" t="str">
        <f t="shared" si="1"/>
        <v/>
      </c>
      <c r="E30" s="858"/>
      <c r="F30" s="859"/>
      <c r="G30" s="860"/>
      <c r="H30" s="175"/>
      <c r="I30" s="221"/>
      <c r="J30" s="221"/>
      <c r="K30" s="191">
        <f t="shared" si="14"/>
        <v>0</v>
      </c>
      <c r="L30" s="191">
        <f t="shared" si="15"/>
        <v>0</v>
      </c>
      <c r="M30" s="238"/>
      <c r="N30" s="357"/>
      <c r="O30" s="408"/>
      <c r="P30" s="195"/>
      <c r="Q30" s="196"/>
      <c r="R30" s="196"/>
      <c r="S30" s="192"/>
      <c r="T30" s="255"/>
      <c r="U30" s="193"/>
      <c r="V30">
        <f t="shared" si="16"/>
        <v>0</v>
      </c>
      <c r="W30">
        <f t="shared" si="2"/>
        <v>0</v>
      </c>
      <c r="X30" s="358">
        <f t="shared" si="17"/>
        <v>0</v>
      </c>
      <c r="Y30" s="358">
        <f t="shared" si="18"/>
        <v>0</v>
      </c>
      <c r="Z30" s="358">
        <f t="shared" si="3"/>
        <v>0</v>
      </c>
      <c r="AA30" s="358">
        <f t="shared" si="19"/>
        <v>0</v>
      </c>
      <c r="AB30" s="358">
        <f t="shared" si="20"/>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1"/>
        <v>0</v>
      </c>
      <c r="BO30" s="125">
        <f t="shared" si="4"/>
        <v>0</v>
      </c>
      <c r="BP30" s="358">
        <f t="shared" si="5"/>
        <v>0</v>
      </c>
      <c r="BQ30" s="358">
        <f t="shared" si="22"/>
        <v>0</v>
      </c>
      <c r="BR30" s="358">
        <f t="shared" si="6"/>
        <v>0</v>
      </c>
      <c r="BS30" s="358">
        <f t="shared" si="7"/>
        <v>0</v>
      </c>
      <c r="BT30" s="358">
        <f t="shared" si="8"/>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17</v>
      </c>
      <c r="B31" s="72" t="str">
        <f t="shared" si="0"/>
        <v>fr</v>
      </c>
      <c r="C31" s="73" t="s">
        <v>217</v>
      </c>
      <c r="D31" s="74" t="str">
        <f t="shared" si="1"/>
        <v/>
      </c>
      <c r="E31" s="858"/>
      <c r="F31" s="859"/>
      <c r="G31" s="860"/>
      <c r="H31" s="175"/>
      <c r="I31" s="221"/>
      <c r="J31" s="221"/>
      <c r="K31" s="191">
        <f t="shared" si="14"/>
        <v>0</v>
      </c>
      <c r="L31" s="191">
        <f t="shared" si="15"/>
        <v>0</v>
      </c>
      <c r="M31" s="238"/>
      <c r="N31" s="357"/>
      <c r="O31" s="408"/>
      <c r="P31" s="195"/>
      <c r="Q31" s="196"/>
      <c r="R31" s="196"/>
      <c r="S31" s="192"/>
      <c r="T31" s="255"/>
      <c r="U31" s="193"/>
      <c r="V31">
        <f t="shared" si="16"/>
        <v>0</v>
      </c>
      <c r="W31">
        <f t="shared" si="2"/>
        <v>0</v>
      </c>
      <c r="X31" s="358">
        <f t="shared" si="17"/>
        <v>0</v>
      </c>
      <c r="Y31" s="358">
        <f t="shared" si="18"/>
        <v>0</v>
      </c>
      <c r="Z31" s="358">
        <f t="shared" si="3"/>
        <v>0</v>
      </c>
      <c r="AA31" s="358">
        <f t="shared" si="19"/>
        <v>0</v>
      </c>
      <c r="AB31" s="358">
        <f t="shared" si="20"/>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1"/>
        <v>0</v>
      </c>
      <c r="BO31" s="125">
        <f t="shared" si="4"/>
        <v>0</v>
      </c>
      <c r="BP31" s="358">
        <f t="shared" si="5"/>
        <v>0</v>
      </c>
      <c r="BQ31" s="358">
        <f t="shared" si="22"/>
        <v>0</v>
      </c>
      <c r="BR31" s="358">
        <f t="shared" si="6"/>
        <v>0</v>
      </c>
      <c r="BS31" s="358">
        <f t="shared" si="7"/>
        <v>0</v>
      </c>
      <c r="BT31" s="358">
        <f t="shared" si="8"/>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18</v>
      </c>
      <c r="B32" s="72" t="str">
        <f t="shared" si="0"/>
        <v>lø</v>
      </c>
      <c r="C32" s="73" t="s">
        <v>77</v>
      </c>
      <c r="D32" s="74" t="str">
        <f t="shared" si="1"/>
        <v/>
      </c>
      <c r="E32" s="858"/>
      <c r="F32" s="859"/>
      <c r="G32" s="860"/>
      <c r="H32" s="175"/>
      <c r="I32" s="221"/>
      <c r="J32" s="221"/>
      <c r="K32" s="191">
        <f t="shared" si="14"/>
        <v>0</v>
      </c>
      <c r="L32" s="191">
        <f t="shared" si="15"/>
        <v>0</v>
      </c>
      <c r="M32" s="238"/>
      <c r="N32" s="357"/>
      <c r="O32" s="408"/>
      <c r="P32" s="195"/>
      <c r="Q32" s="196"/>
      <c r="R32" s="196"/>
      <c r="S32" s="192"/>
      <c r="T32" s="255"/>
      <c r="U32" s="193"/>
      <c r="V32">
        <f t="shared" si="16"/>
        <v>0</v>
      </c>
      <c r="W32">
        <f t="shared" si="2"/>
        <v>0</v>
      </c>
      <c r="X32" s="358">
        <f t="shared" si="17"/>
        <v>0</v>
      </c>
      <c r="Y32" s="358">
        <f t="shared" si="18"/>
        <v>0</v>
      </c>
      <c r="Z32" s="358">
        <f t="shared" si="3"/>
        <v>0</v>
      </c>
      <c r="AA32" s="358">
        <f t="shared" si="19"/>
        <v>0</v>
      </c>
      <c r="AB32" s="358">
        <f t="shared" si="20"/>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1"/>
        <v>0</v>
      </c>
      <c r="BO32" s="125">
        <f t="shared" si="4"/>
        <v>0</v>
      </c>
      <c r="BP32" s="358">
        <f t="shared" si="5"/>
        <v>0</v>
      </c>
      <c r="BQ32" s="358">
        <f t="shared" si="22"/>
        <v>0</v>
      </c>
      <c r="BR32" s="358">
        <f t="shared" si="6"/>
        <v>0</v>
      </c>
      <c r="BS32" s="358">
        <f t="shared" si="7"/>
        <v>0</v>
      </c>
      <c r="BT32" s="358">
        <f t="shared" si="8"/>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19</v>
      </c>
      <c r="B33" s="72" t="str">
        <f t="shared" si="0"/>
        <v>sø</v>
      </c>
      <c r="C33" s="73" t="s">
        <v>77</v>
      </c>
      <c r="D33" s="74" t="str">
        <f t="shared" si="1"/>
        <v/>
      </c>
      <c r="E33" s="858"/>
      <c r="F33" s="859"/>
      <c r="G33" s="860"/>
      <c r="H33" s="175"/>
      <c r="I33" s="221"/>
      <c r="J33" s="221"/>
      <c r="K33" s="191">
        <f t="shared" si="14"/>
        <v>0</v>
      </c>
      <c r="L33" s="191">
        <f t="shared" si="15"/>
        <v>0</v>
      </c>
      <c r="M33" s="238"/>
      <c r="N33" s="357"/>
      <c r="O33" s="408"/>
      <c r="P33" s="195"/>
      <c r="Q33" s="196"/>
      <c r="R33" s="196"/>
      <c r="S33" s="192"/>
      <c r="T33" s="255"/>
      <c r="U33" s="193"/>
      <c r="V33">
        <f t="shared" si="16"/>
        <v>0</v>
      </c>
      <c r="W33">
        <f t="shared" si="2"/>
        <v>0</v>
      </c>
      <c r="X33" s="358">
        <f t="shared" si="17"/>
        <v>0</v>
      </c>
      <c r="Y33" s="358">
        <f t="shared" si="18"/>
        <v>0</v>
      </c>
      <c r="Z33" s="358">
        <f t="shared" si="3"/>
        <v>0</v>
      </c>
      <c r="AA33" s="358">
        <f t="shared" si="19"/>
        <v>0</v>
      </c>
      <c r="AB33" s="358">
        <f t="shared" si="20"/>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1"/>
        <v>0</v>
      </c>
      <c r="BO33" s="125">
        <f t="shared" si="4"/>
        <v>0</v>
      </c>
      <c r="BP33" s="358">
        <f t="shared" si="5"/>
        <v>0</v>
      </c>
      <c r="BQ33" s="358">
        <f t="shared" si="22"/>
        <v>0</v>
      </c>
      <c r="BR33" s="358">
        <f t="shared" si="6"/>
        <v>0</v>
      </c>
      <c r="BS33" s="358">
        <f t="shared" si="7"/>
        <v>0</v>
      </c>
      <c r="BT33" s="358">
        <f t="shared" si="8"/>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20</v>
      </c>
      <c r="B34" s="72" t="str">
        <f t="shared" si="0"/>
        <v>ma</v>
      </c>
      <c r="C34" s="73" t="s">
        <v>217</v>
      </c>
      <c r="D34" s="74">
        <f t="shared" si="1"/>
        <v>42.714285714285715</v>
      </c>
      <c r="E34" s="858"/>
      <c r="F34" s="859"/>
      <c r="G34" s="860"/>
      <c r="H34" s="175"/>
      <c r="I34" s="221"/>
      <c r="J34" s="221"/>
      <c r="K34" s="191">
        <f t="shared" si="14"/>
        <v>0</v>
      </c>
      <c r="L34" s="191">
        <f t="shared" si="15"/>
        <v>0</v>
      </c>
      <c r="M34" s="238"/>
      <c r="N34" s="357"/>
      <c r="O34" s="408"/>
      <c r="P34" s="195"/>
      <c r="Q34" s="196"/>
      <c r="R34" s="196"/>
      <c r="S34" s="192"/>
      <c r="T34" s="255"/>
      <c r="U34" s="193"/>
      <c r="V34">
        <f t="shared" si="16"/>
        <v>0</v>
      </c>
      <c r="W34">
        <f t="shared" si="2"/>
        <v>0</v>
      </c>
      <c r="X34" s="358">
        <f t="shared" si="17"/>
        <v>0</v>
      </c>
      <c r="Y34" s="358">
        <f t="shared" si="18"/>
        <v>0</v>
      </c>
      <c r="Z34" s="358">
        <f t="shared" si="3"/>
        <v>0</v>
      </c>
      <c r="AA34" s="358">
        <f t="shared" si="19"/>
        <v>0</v>
      </c>
      <c r="AB34" s="358">
        <f t="shared" si="20"/>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1"/>
        <v>0</v>
      </c>
      <c r="BO34" s="125">
        <f t="shared" si="4"/>
        <v>0</v>
      </c>
      <c r="BP34" s="358">
        <f t="shared" si="5"/>
        <v>0</v>
      </c>
      <c r="BQ34" s="358">
        <f t="shared" si="22"/>
        <v>0</v>
      </c>
      <c r="BR34" s="358">
        <f t="shared" si="6"/>
        <v>0</v>
      </c>
      <c r="BS34" s="358">
        <f t="shared" si="7"/>
        <v>0</v>
      </c>
      <c r="BT34" s="358">
        <f t="shared" si="8"/>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21</v>
      </c>
      <c r="B35" s="72" t="str">
        <f t="shared" si="0"/>
        <v>ti</v>
      </c>
      <c r="C35" s="73" t="s">
        <v>217</v>
      </c>
      <c r="D35" s="74" t="str">
        <f t="shared" si="1"/>
        <v/>
      </c>
      <c r="E35" s="858"/>
      <c r="F35" s="859"/>
      <c r="G35" s="860"/>
      <c r="H35" s="175"/>
      <c r="I35" s="221"/>
      <c r="J35" s="221"/>
      <c r="K35" s="191">
        <f t="shared" si="14"/>
        <v>0</v>
      </c>
      <c r="L35" s="191">
        <f t="shared" si="15"/>
        <v>0</v>
      </c>
      <c r="M35" s="238"/>
      <c r="N35" s="357"/>
      <c r="O35" s="408"/>
      <c r="P35" s="195"/>
      <c r="Q35" s="196"/>
      <c r="R35" s="196"/>
      <c r="S35" s="192"/>
      <c r="T35" s="255"/>
      <c r="U35" s="193"/>
      <c r="V35">
        <f t="shared" si="16"/>
        <v>0</v>
      </c>
      <c r="W35">
        <f t="shared" si="2"/>
        <v>0</v>
      </c>
      <c r="X35" s="358">
        <f t="shared" si="17"/>
        <v>0</v>
      </c>
      <c r="Y35" s="358">
        <f t="shared" si="18"/>
        <v>0</v>
      </c>
      <c r="Z35" s="358">
        <f t="shared" si="3"/>
        <v>0</v>
      </c>
      <c r="AA35" s="358">
        <f t="shared" si="19"/>
        <v>0</v>
      </c>
      <c r="AB35" s="358">
        <f t="shared" si="20"/>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1"/>
        <v>0</v>
      </c>
      <c r="BO35" s="125">
        <f t="shared" si="4"/>
        <v>0</v>
      </c>
      <c r="BP35" s="358">
        <f t="shared" si="5"/>
        <v>0</v>
      </c>
      <c r="BQ35" s="358">
        <f t="shared" si="22"/>
        <v>0</v>
      </c>
      <c r="BR35" s="358">
        <f t="shared" si="6"/>
        <v>0</v>
      </c>
      <c r="BS35" s="358">
        <f t="shared" si="7"/>
        <v>0</v>
      </c>
      <c r="BT35" s="358">
        <f t="shared" si="8"/>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22</v>
      </c>
      <c r="B36" s="72" t="str">
        <f t="shared" si="0"/>
        <v>on</v>
      </c>
      <c r="C36" s="73" t="s">
        <v>217</v>
      </c>
      <c r="D36" s="74" t="str">
        <f t="shared" si="1"/>
        <v/>
      </c>
      <c r="E36" s="858"/>
      <c r="F36" s="859"/>
      <c r="G36" s="860"/>
      <c r="H36" s="175"/>
      <c r="I36" s="221"/>
      <c r="J36" s="221"/>
      <c r="K36" s="191">
        <f t="shared" si="14"/>
        <v>0</v>
      </c>
      <c r="L36" s="191">
        <f t="shared" si="15"/>
        <v>0</v>
      </c>
      <c r="M36" s="238"/>
      <c r="N36" s="357"/>
      <c r="O36" s="408"/>
      <c r="P36" s="195"/>
      <c r="Q36" s="196"/>
      <c r="R36" s="196"/>
      <c r="S36" s="192"/>
      <c r="T36" s="255"/>
      <c r="U36" s="193"/>
      <c r="V36">
        <f t="shared" si="16"/>
        <v>0</v>
      </c>
      <c r="W36">
        <f t="shared" si="2"/>
        <v>0</v>
      </c>
      <c r="X36" s="358">
        <f t="shared" si="17"/>
        <v>0</v>
      </c>
      <c r="Y36" s="358">
        <f t="shared" si="18"/>
        <v>0</v>
      </c>
      <c r="Z36" s="358">
        <f t="shared" si="3"/>
        <v>0</v>
      </c>
      <c r="AA36" s="358">
        <f t="shared" si="19"/>
        <v>0</v>
      </c>
      <c r="AB36" s="358">
        <f t="shared" si="20"/>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1"/>
        <v>0</v>
      </c>
      <c r="BO36" s="125">
        <f t="shared" si="4"/>
        <v>0</v>
      </c>
      <c r="BP36" s="358">
        <f t="shared" si="5"/>
        <v>0</v>
      </c>
      <c r="BQ36" s="358">
        <f t="shared" si="22"/>
        <v>0</v>
      </c>
      <c r="BR36" s="358">
        <f t="shared" si="6"/>
        <v>0</v>
      </c>
      <c r="BS36" s="358">
        <f t="shared" si="7"/>
        <v>0</v>
      </c>
      <c r="BT36" s="358">
        <f t="shared" si="8"/>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23</v>
      </c>
      <c r="B37" s="72" t="str">
        <f t="shared" si="0"/>
        <v>to</v>
      </c>
      <c r="C37" s="73" t="s">
        <v>217</v>
      </c>
      <c r="D37" s="74" t="str">
        <f t="shared" si="1"/>
        <v/>
      </c>
      <c r="E37" s="858"/>
      <c r="F37" s="859"/>
      <c r="G37" s="860"/>
      <c r="H37" s="175"/>
      <c r="I37" s="221"/>
      <c r="J37" s="221"/>
      <c r="K37" s="191">
        <f t="shared" si="14"/>
        <v>0</v>
      </c>
      <c r="L37" s="191">
        <f t="shared" si="15"/>
        <v>0</v>
      </c>
      <c r="M37" s="238"/>
      <c r="N37" s="357"/>
      <c r="O37" s="408"/>
      <c r="P37" s="195"/>
      <c r="Q37" s="196"/>
      <c r="R37" s="196"/>
      <c r="S37" s="192"/>
      <c r="T37" s="255"/>
      <c r="U37" s="193"/>
      <c r="V37">
        <f t="shared" si="16"/>
        <v>0</v>
      </c>
      <c r="W37">
        <f t="shared" si="2"/>
        <v>0</v>
      </c>
      <c r="X37" s="358">
        <f t="shared" si="17"/>
        <v>0</v>
      </c>
      <c r="Y37" s="358">
        <f t="shared" si="18"/>
        <v>0</v>
      </c>
      <c r="Z37" s="358">
        <f t="shared" si="3"/>
        <v>0</v>
      </c>
      <c r="AA37" s="358">
        <f t="shared" si="19"/>
        <v>0</v>
      </c>
      <c r="AB37" s="358">
        <f t="shared" si="20"/>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1"/>
        <v>0</v>
      </c>
      <c r="BO37" s="125">
        <f t="shared" si="4"/>
        <v>0</v>
      </c>
      <c r="BP37" s="358">
        <f t="shared" si="5"/>
        <v>0</v>
      </c>
      <c r="BQ37" s="358">
        <f t="shared" si="22"/>
        <v>0</v>
      </c>
      <c r="BR37" s="358">
        <f t="shared" si="6"/>
        <v>0</v>
      </c>
      <c r="BS37" s="358">
        <f t="shared" si="7"/>
        <v>0</v>
      </c>
      <c r="BT37" s="358">
        <f t="shared" si="8"/>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 t="shared" si="13"/>
        <v>24</v>
      </c>
      <c r="B38" s="72" t="str">
        <f t="shared" si="0"/>
        <v>fr</v>
      </c>
      <c r="C38" s="73" t="s">
        <v>217</v>
      </c>
      <c r="D38" s="74" t="str">
        <f t="shared" si="1"/>
        <v/>
      </c>
      <c r="E38" s="861"/>
      <c r="F38" s="862"/>
      <c r="G38" s="863"/>
      <c r="H38" s="175"/>
      <c r="I38" s="221"/>
      <c r="J38" s="221"/>
      <c r="K38" s="191">
        <f t="shared" si="14"/>
        <v>0</v>
      </c>
      <c r="L38" s="191">
        <f t="shared" si="15"/>
        <v>0</v>
      </c>
      <c r="M38" s="238"/>
      <c r="N38" s="357"/>
      <c r="O38" s="408"/>
      <c r="P38" s="195"/>
      <c r="Q38" s="196"/>
      <c r="R38" s="196"/>
      <c r="S38" s="192"/>
      <c r="T38" s="255"/>
      <c r="U38" s="193"/>
      <c r="V38">
        <f t="shared" si="16"/>
        <v>0</v>
      </c>
      <c r="W38">
        <f t="shared" si="2"/>
        <v>0</v>
      </c>
      <c r="X38" s="358">
        <f t="shared" si="17"/>
        <v>0</v>
      </c>
      <c r="Y38" s="358">
        <f t="shared" si="18"/>
        <v>0</v>
      </c>
      <c r="Z38" s="358">
        <f t="shared" si="3"/>
        <v>0</v>
      </c>
      <c r="AA38" s="358">
        <f t="shared" si="19"/>
        <v>0</v>
      </c>
      <c r="AB38" s="358">
        <f t="shared" si="20"/>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1"/>
        <v>0</v>
      </c>
      <c r="BO38" s="125">
        <f t="shared" si="4"/>
        <v>0</v>
      </c>
      <c r="BP38" s="358">
        <f t="shared" si="5"/>
        <v>0</v>
      </c>
      <c r="BQ38" s="358">
        <f t="shared" si="22"/>
        <v>0</v>
      </c>
      <c r="BR38" s="358">
        <f t="shared" si="6"/>
        <v>0</v>
      </c>
      <c r="BS38" s="358">
        <f t="shared" si="7"/>
        <v>0</v>
      </c>
      <c r="BT38" s="358">
        <f t="shared" si="8"/>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25</v>
      </c>
      <c r="B39" s="72" t="str">
        <f t="shared" si="0"/>
        <v>lø</v>
      </c>
      <c r="C39" s="73" t="s">
        <v>77</v>
      </c>
      <c r="D39" s="74" t="str">
        <f t="shared" si="1"/>
        <v/>
      </c>
      <c r="E39" s="858"/>
      <c r="F39" s="859"/>
      <c r="G39" s="860"/>
      <c r="H39" s="175"/>
      <c r="I39" s="221"/>
      <c r="J39" s="221"/>
      <c r="K39" s="191">
        <f t="shared" si="14"/>
        <v>0</v>
      </c>
      <c r="L39" s="191">
        <f t="shared" si="15"/>
        <v>0</v>
      </c>
      <c r="M39" s="238"/>
      <c r="N39" s="357"/>
      <c r="O39" s="408"/>
      <c r="P39" s="195"/>
      <c r="Q39" s="196"/>
      <c r="R39" s="196"/>
      <c r="S39" s="192"/>
      <c r="T39" s="255"/>
      <c r="U39" s="193"/>
      <c r="V39">
        <f t="shared" si="16"/>
        <v>0</v>
      </c>
      <c r="W39">
        <f t="shared" si="2"/>
        <v>0</v>
      </c>
      <c r="X39" s="358">
        <f t="shared" si="17"/>
        <v>0</v>
      </c>
      <c r="Y39" s="358">
        <f t="shared" si="18"/>
        <v>0</v>
      </c>
      <c r="Z39" s="358">
        <f t="shared" si="3"/>
        <v>0</v>
      </c>
      <c r="AA39" s="358">
        <f t="shared" si="19"/>
        <v>0</v>
      </c>
      <c r="AB39" s="358">
        <f t="shared" si="20"/>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1"/>
        <v>0</v>
      </c>
      <c r="BO39" s="125">
        <f t="shared" si="4"/>
        <v>0</v>
      </c>
      <c r="BP39" s="358">
        <f t="shared" si="5"/>
        <v>0</v>
      </c>
      <c r="BQ39" s="358">
        <f t="shared" si="22"/>
        <v>0</v>
      </c>
      <c r="BR39" s="358">
        <f t="shared" si="6"/>
        <v>0</v>
      </c>
      <c r="BS39" s="358">
        <f t="shared" si="7"/>
        <v>0</v>
      </c>
      <c r="BT39" s="358">
        <f t="shared" si="8"/>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 t="shared" si="13"/>
        <v>26</v>
      </c>
      <c r="B40" s="72" t="str">
        <f t="shared" si="0"/>
        <v>sø</v>
      </c>
      <c r="C40" s="73" t="s">
        <v>77</v>
      </c>
      <c r="D40" s="74" t="str">
        <f t="shared" si="1"/>
        <v/>
      </c>
      <c r="E40" s="858"/>
      <c r="F40" s="859"/>
      <c r="G40" s="860"/>
      <c r="H40" s="175"/>
      <c r="I40" s="221"/>
      <c r="J40" s="221"/>
      <c r="K40" s="191">
        <f t="shared" si="14"/>
        <v>0</v>
      </c>
      <c r="L40" s="191">
        <f t="shared" si="15"/>
        <v>0</v>
      </c>
      <c r="M40" s="238"/>
      <c r="N40" s="357"/>
      <c r="O40" s="408"/>
      <c r="P40" s="195"/>
      <c r="Q40" s="196"/>
      <c r="R40" s="196"/>
      <c r="S40" s="192"/>
      <c r="T40" s="255"/>
      <c r="U40" s="193"/>
      <c r="V40">
        <f t="shared" si="16"/>
        <v>0</v>
      </c>
      <c r="W40">
        <f t="shared" si="2"/>
        <v>0</v>
      </c>
      <c r="X40" s="358">
        <f t="shared" si="17"/>
        <v>0</v>
      </c>
      <c r="Y40" s="358">
        <f t="shared" si="18"/>
        <v>0</v>
      </c>
      <c r="Z40" s="358">
        <f t="shared" si="3"/>
        <v>0</v>
      </c>
      <c r="AA40" s="358">
        <f t="shared" si="19"/>
        <v>0</v>
      </c>
      <c r="AB40" s="358">
        <f t="shared" si="20"/>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1"/>
        <v>0</v>
      </c>
      <c r="BO40" s="125">
        <f t="shared" si="4"/>
        <v>0</v>
      </c>
      <c r="BP40" s="358">
        <f t="shared" si="5"/>
        <v>0</v>
      </c>
      <c r="BQ40" s="358">
        <f t="shared" si="22"/>
        <v>0</v>
      </c>
      <c r="BR40" s="358">
        <f t="shared" si="6"/>
        <v>0</v>
      </c>
      <c r="BS40" s="358">
        <f t="shared" si="7"/>
        <v>0</v>
      </c>
      <c r="BT40" s="358">
        <f t="shared" si="8"/>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9"/>
        <v/>
      </c>
      <c r="DG40">
        <f t="shared" si="10"/>
        <v>0</v>
      </c>
      <c r="DH40">
        <f t="shared" si="11"/>
        <v>0</v>
      </c>
      <c r="DI40" t="str">
        <f t="shared" si="12"/>
        <v/>
      </c>
      <c r="DJ40" t="str">
        <f t="shared" si="12"/>
        <v/>
      </c>
      <c r="DK40" t="str">
        <f t="shared" si="12"/>
        <v/>
      </c>
      <c r="DL40" t="str">
        <f t="shared" si="24"/>
        <v/>
      </c>
    </row>
    <row r="41" spans="1:116">
      <c r="A41" s="135">
        <f t="shared" si="13"/>
        <v>27</v>
      </c>
      <c r="B41" s="72" t="str">
        <f t="shared" si="0"/>
        <v>ma</v>
      </c>
      <c r="C41" s="73" t="s">
        <v>217</v>
      </c>
      <c r="D41" s="74">
        <f t="shared" si="1"/>
        <v>43.714285714285715</v>
      </c>
      <c r="E41" s="858"/>
      <c r="F41" s="859"/>
      <c r="G41" s="860"/>
      <c r="H41" s="175"/>
      <c r="I41" s="221"/>
      <c r="J41" s="221"/>
      <c r="K41" s="191">
        <f t="shared" si="14"/>
        <v>0</v>
      </c>
      <c r="L41" s="191">
        <f t="shared" si="15"/>
        <v>0</v>
      </c>
      <c r="M41" s="238"/>
      <c r="N41" s="357"/>
      <c r="O41" s="408"/>
      <c r="P41" s="195"/>
      <c r="Q41" s="196"/>
      <c r="R41" s="196"/>
      <c r="S41" s="192"/>
      <c r="T41" s="255"/>
      <c r="U41" s="193"/>
      <c r="V41">
        <f t="shared" si="16"/>
        <v>0</v>
      </c>
      <c r="W41">
        <f t="shared" si="2"/>
        <v>0</v>
      </c>
      <c r="X41" s="358">
        <f t="shared" si="17"/>
        <v>0</v>
      </c>
      <c r="Y41" s="358">
        <f t="shared" si="18"/>
        <v>0</v>
      </c>
      <c r="Z41" s="358">
        <f t="shared" si="3"/>
        <v>0</v>
      </c>
      <c r="AA41" s="358">
        <f t="shared" si="19"/>
        <v>0</v>
      </c>
      <c r="AB41" s="358">
        <f t="shared" si="20"/>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1"/>
        <v>0</v>
      </c>
      <c r="BO41" s="125">
        <f t="shared" si="4"/>
        <v>0</v>
      </c>
      <c r="BP41" s="358">
        <f t="shared" si="5"/>
        <v>0</v>
      </c>
      <c r="BQ41" s="358">
        <f t="shared" si="22"/>
        <v>0</v>
      </c>
      <c r="BR41" s="358">
        <f t="shared" si="6"/>
        <v>0</v>
      </c>
      <c r="BS41" s="358">
        <f t="shared" si="7"/>
        <v>0</v>
      </c>
      <c r="BT41" s="358">
        <f t="shared" si="8"/>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9"/>
        <v/>
      </c>
      <c r="DG41">
        <f t="shared" si="10"/>
        <v>0</v>
      </c>
      <c r="DH41">
        <f t="shared" si="11"/>
        <v>0</v>
      </c>
      <c r="DI41" t="str">
        <f t="shared" si="12"/>
        <v/>
      </c>
      <c r="DJ41" t="str">
        <f t="shared" si="12"/>
        <v/>
      </c>
      <c r="DK41" t="str">
        <f t="shared" si="12"/>
        <v/>
      </c>
      <c r="DL41" t="str">
        <f t="shared" si="24"/>
        <v/>
      </c>
    </row>
    <row r="42" spans="1:116">
      <c r="A42" s="135">
        <f t="shared" si="13"/>
        <v>28</v>
      </c>
      <c r="B42" s="72" t="str">
        <f t="shared" si="0"/>
        <v>ti</v>
      </c>
      <c r="C42" s="73" t="s">
        <v>217</v>
      </c>
      <c r="D42" s="74" t="str">
        <f t="shared" si="1"/>
        <v/>
      </c>
      <c r="E42" s="858"/>
      <c r="F42" s="859"/>
      <c r="G42" s="860"/>
      <c r="H42" s="175"/>
      <c r="I42" s="221"/>
      <c r="J42" s="221"/>
      <c r="K42" s="191">
        <f t="shared" si="14"/>
        <v>0</v>
      </c>
      <c r="L42" s="191">
        <f t="shared" si="15"/>
        <v>0</v>
      </c>
      <c r="M42" s="238"/>
      <c r="N42" s="357"/>
      <c r="O42" s="408"/>
      <c r="P42" s="195"/>
      <c r="Q42" s="196"/>
      <c r="R42" s="196"/>
      <c r="S42" s="192"/>
      <c r="T42" s="255"/>
      <c r="U42" s="193"/>
      <c r="V42">
        <f t="shared" si="16"/>
        <v>0</v>
      </c>
      <c r="W42">
        <f t="shared" si="2"/>
        <v>0</v>
      </c>
      <c r="X42" s="358">
        <f t="shared" si="17"/>
        <v>0</v>
      </c>
      <c r="Y42" s="358">
        <f t="shared" si="18"/>
        <v>0</v>
      </c>
      <c r="Z42" s="358">
        <f t="shared" si="3"/>
        <v>0</v>
      </c>
      <c r="AA42" s="358">
        <f t="shared" si="19"/>
        <v>0</v>
      </c>
      <c r="AB42" s="358">
        <f t="shared" si="20"/>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1"/>
        <v>0</v>
      </c>
      <c r="BO42" s="125">
        <f t="shared" si="4"/>
        <v>0</v>
      </c>
      <c r="BP42" s="358">
        <f t="shared" si="5"/>
        <v>0</v>
      </c>
      <c r="BQ42" s="358">
        <f t="shared" si="22"/>
        <v>0</v>
      </c>
      <c r="BR42" s="358">
        <f t="shared" si="6"/>
        <v>0</v>
      </c>
      <c r="BS42" s="358">
        <f t="shared" si="7"/>
        <v>0</v>
      </c>
      <c r="BT42" s="358">
        <f t="shared" si="8"/>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9"/>
        <v/>
      </c>
      <c r="DG42">
        <f t="shared" si="10"/>
        <v>0</v>
      </c>
      <c r="DH42">
        <f t="shared" si="11"/>
        <v>0</v>
      </c>
      <c r="DI42" t="str">
        <f t="shared" si="12"/>
        <v/>
      </c>
      <c r="DJ42" t="str">
        <f t="shared" si="12"/>
        <v/>
      </c>
      <c r="DK42" t="str">
        <f t="shared" si="12"/>
        <v/>
      </c>
      <c r="DL42" t="str">
        <f t="shared" si="24"/>
        <v/>
      </c>
    </row>
    <row r="43" spans="1:116">
      <c r="A43" s="135">
        <f>IF(ISNUMBER(A42),A42+1,1)</f>
        <v>29</v>
      </c>
      <c r="B43" s="72" t="str">
        <f t="shared" si="0"/>
        <v>on</v>
      </c>
      <c r="C43" s="73" t="s">
        <v>217</v>
      </c>
      <c r="D43" s="74" t="str">
        <f t="shared" si="1"/>
        <v/>
      </c>
      <c r="E43" s="858"/>
      <c r="F43" s="859"/>
      <c r="G43" s="860"/>
      <c r="H43" s="175"/>
      <c r="I43" s="221"/>
      <c r="J43" s="221"/>
      <c r="K43" s="191">
        <f t="shared" si="14"/>
        <v>0</v>
      </c>
      <c r="L43" s="191">
        <f t="shared" si="15"/>
        <v>0</v>
      </c>
      <c r="M43" s="238"/>
      <c r="N43" s="357"/>
      <c r="O43" s="408"/>
      <c r="P43" s="195"/>
      <c r="Q43" s="196"/>
      <c r="R43" s="196"/>
      <c r="S43" s="192"/>
      <c r="T43" s="255"/>
      <c r="U43" s="193"/>
      <c r="V43">
        <f t="shared" si="16"/>
        <v>0</v>
      </c>
      <c r="W43">
        <f t="shared" si="2"/>
        <v>0</v>
      </c>
      <c r="X43" s="358">
        <f t="shared" si="17"/>
        <v>0</v>
      </c>
      <c r="Y43" s="358">
        <f t="shared" si="18"/>
        <v>0</v>
      </c>
      <c r="Z43" s="358">
        <f t="shared" si="3"/>
        <v>0</v>
      </c>
      <c r="AA43" s="358">
        <f t="shared" si="19"/>
        <v>0</v>
      </c>
      <c r="AB43" s="358">
        <f t="shared" si="20"/>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1"/>
        <v>0</v>
      </c>
      <c r="BO43" s="125">
        <f t="shared" si="4"/>
        <v>0</v>
      </c>
      <c r="BP43" s="358">
        <f t="shared" si="5"/>
        <v>0</v>
      </c>
      <c r="BQ43" s="358">
        <f t="shared" si="22"/>
        <v>0</v>
      </c>
      <c r="BR43" s="358">
        <f t="shared" si="6"/>
        <v>0</v>
      </c>
      <c r="BS43" s="358">
        <f t="shared" si="7"/>
        <v>0</v>
      </c>
      <c r="BT43" s="358">
        <f t="shared" si="8"/>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9"/>
        <v/>
      </c>
      <c r="DG43">
        <f t="shared" si="10"/>
        <v>0</v>
      </c>
      <c r="DH43">
        <f t="shared" si="11"/>
        <v>0</v>
      </c>
      <c r="DI43" t="str">
        <f t="shared" si="12"/>
        <v/>
      </c>
      <c r="DJ43" t="str">
        <f t="shared" si="12"/>
        <v/>
      </c>
      <c r="DK43" t="str">
        <f t="shared" si="12"/>
        <v/>
      </c>
      <c r="DL43" t="str">
        <f t="shared" si="24"/>
        <v/>
      </c>
    </row>
    <row r="44" spans="1:116">
      <c r="A44" s="135">
        <f t="shared" si="13"/>
        <v>30</v>
      </c>
      <c r="B44" s="72" t="str">
        <f t="shared" si="0"/>
        <v>to</v>
      </c>
      <c r="C44" s="73" t="s">
        <v>217</v>
      </c>
      <c r="D44" s="74" t="str">
        <f t="shared" si="1"/>
        <v/>
      </c>
      <c r="E44" s="858"/>
      <c r="F44" s="859"/>
      <c r="G44" s="860"/>
      <c r="H44" s="175"/>
      <c r="I44" s="221"/>
      <c r="J44" s="221"/>
      <c r="K44" s="191">
        <f t="shared" si="14"/>
        <v>0</v>
      </c>
      <c r="L44" s="191">
        <f t="shared" si="15"/>
        <v>0</v>
      </c>
      <c r="M44" s="238"/>
      <c r="N44" s="357"/>
      <c r="O44" s="408"/>
      <c r="P44" s="195"/>
      <c r="Q44" s="196"/>
      <c r="R44" s="254"/>
      <c r="S44" s="192"/>
      <c r="T44" s="255"/>
      <c r="U44" s="193"/>
      <c r="V44">
        <f t="shared" si="16"/>
        <v>0</v>
      </c>
      <c r="W44">
        <f t="shared" si="2"/>
        <v>0</v>
      </c>
      <c r="X44" s="358">
        <f t="shared" si="17"/>
        <v>0</v>
      </c>
      <c r="Y44" s="358">
        <f t="shared" si="18"/>
        <v>0</v>
      </c>
      <c r="Z44" s="358">
        <f t="shared" si="3"/>
        <v>0</v>
      </c>
      <c r="AA44" s="358">
        <f t="shared" si="19"/>
        <v>0</v>
      </c>
      <c r="AB44" s="358">
        <f t="shared" si="20"/>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1"/>
        <v>0</v>
      </c>
      <c r="BO44" s="125">
        <f t="shared" si="4"/>
        <v>0</v>
      </c>
      <c r="BP44" s="358">
        <f t="shared" si="5"/>
        <v>0</v>
      </c>
      <c r="BQ44" s="358">
        <f t="shared" si="22"/>
        <v>0</v>
      </c>
      <c r="BR44" s="358">
        <f t="shared" si="6"/>
        <v>0</v>
      </c>
      <c r="BS44" s="358">
        <f t="shared" si="7"/>
        <v>0</v>
      </c>
      <c r="BT44" s="358">
        <f t="shared" si="8"/>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9"/>
        <v/>
      </c>
      <c r="DG44">
        <f t="shared" si="10"/>
        <v>0</v>
      </c>
      <c r="DH44">
        <f t="shared" si="11"/>
        <v>0</v>
      </c>
      <c r="DI44" t="str">
        <f t="shared" si="12"/>
        <v/>
      </c>
      <c r="DJ44" t="str">
        <f t="shared" si="12"/>
        <v/>
      </c>
      <c r="DK44" t="str">
        <f t="shared" si="12"/>
        <v/>
      </c>
      <c r="DL44" t="str">
        <f t="shared" si="24"/>
        <v/>
      </c>
    </row>
    <row r="45" spans="1:116">
      <c r="A45" s="135">
        <f>IF(ISNUMBER(A44),A44+1,1)</f>
        <v>31</v>
      </c>
      <c r="B45" s="72" t="str">
        <f t="shared" si="0"/>
        <v>fr</v>
      </c>
      <c r="C45" s="73" t="s">
        <v>217</v>
      </c>
      <c r="D45" s="74" t="str">
        <f t="shared" si="1"/>
        <v/>
      </c>
      <c r="E45" s="861"/>
      <c r="F45" s="862"/>
      <c r="G45" s="863"/>
      <c r="H45" s="174"/>
      <c r="I45" s="221"/>
      <c r="J45" s="221"/>
      <c r="K45" s="191">
        <f t="shared" si="14"/>
        <v>0</v>
      </c>
      <c r="L45" s="191">
        <f t="shared" si="15"/>
        <v>0</v>
      </c>
      <c r="M45" s="238"/>
      <c r="N45" s="357"/>
      <c r="O45" s="408"/>
      <c r="P45" s="195"/>
      <c r="Q45" s="196"/>
      <c r="R45" s="118"/>
      <c r="S45" s="192"/>
      <c r="T45" s="255"/>
      <c r="U45" s="256"/>
      <c r="V45">
        <f t="shared" si="16"/>
        <v>0</v>
      </c>
      <c r="W45">
        <f t="shared" si="2"/>
        <v>0</v>
      </c>
      <c r="X45" s="358">
        <f t="shared" si="17"/>
        <v>0</v>
      </c>
      <c r="Y45" s="358">
        <f t="shared" si="18"/>
        <v>0</v>
      </c>
      <c r="Z45" s="358">
        <f t="shared" si="3"/>
        <v>0</v>
      </c>
      <c r="AA45" s="358">
        <f t="shared" si="19"/>
        <v>0</v>
      </c>
      <c r="AB45" s="358">
        <f t="shared" si="20"/>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 t="shared" ref="BN45" si="25">SUM(X45:BC45)</f>
        <v>0</v>
      </c>
      <c r="BO45" s="125">
        <f t="shared" si="4"/>
        <v>0</v>
      </c>
      <c r="BP45" s="358">
        <f t="shared" si="5"/>
        <v>0</v>
      </c>
      <c r="BQ45" s="358">
        <f t="shared" si="22"/>
        <v>0</v>
      </c>
      <c r="BR45" s="358">
        <f t="shared" si="6"/>
        <v>0</v>
      </c>
      <c r="BS45" s="358">
        <f t="shared" si="7"/>
        <v>0</v>
      </c>
      <c r="BT45" s="358">
        <f t="shared" si="8"/>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3"/>
        <v>0</v>
      </c>
      <c r="DF45" t="str">
        <f t="shared" si="9"/>
        <v/>
      </c>
      <c r="DG45">
        <f t="shared" si="10"/>
        <v>0</v>
      </c>
      <c r="DH45">
        <f t="shared" si="11"/>
        <v>0</v>
      </c>
      <c r="DI45" t="str">
        <f t="shared" si="12"/>
        <v/>
      </c>
      <c r="DJ45" t="str">
        <f t="shared" si="12"/>
        <v/>
      </c>
      <c r="DK45" t="str">
        <f t="shared" si="12"/>
        <v/>
      </c>
      <c r="DL45" t="str">
        <f t="shared" si="24"/>
        <v/>
      </c>
    </row>
    <row r="46" spans="1:116" ht="17" thickBot="1">
      <c r="A46" s="368" t="s">
        <v>127</v>
      </c>
      <c r="B46" s="369"/>
      <c r="C46" s="369"/>
      <c r="D46" s="369"/>
      <c r="E46" s="369"/>
      <c r="F46" s="369"/>
      <c r="G46" s="369"/>
      <c r="H46" s="369"/>
      <c r="I46" s="194"/>
      <c r="J46" s="194"/>
      <c r="K46" s="194">
        <f>SUM(K15:K45)</f>
        <v>0</v>
      </c>
      <c r="L46" s="194">
        <f t="shared" ref="L46" si="26">SUM(L15:L45)</f>
        <v>0</v>
      </c>
      <c r="M46"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1"/>
      <c r="O46" s="412">
        <f>SUM(O15:O45)</f>
        <v>0</v>
      </c>
      <c r="P46" s="249"/>
      <c r="Q46" s="250"/>
      <c r="R46" s="250"/>
      <c r="S46"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8">
        <f>W15+W16+W17+W18+W19+W20+W21+W22+W23+W24+W25+W26+W27+W28+W29+W30+W31+W32+W33+W34+W35+W36+W37+W38+W39+W40+W41+W42+W43+W44+W45</f>
        <v>0</v>
      </c>
      <c r="X46" s="129">
        <f>SUM(X15:X45)</f>
        <v>0</v>
      </c>
      <c r="Y46" s="129">
        <f t="shared" ref="Y46:AC46" si="27">SUM(Y15:Y45)</f>
        <v>0</v>
      </c>
      <c r="Z46" s="129">
        <f t="shared" si="27"/>
        <v>0</v>
      </c>
      <c r="AA46" s="129">
        <f t="shared" si="27"/>
        <v>0</v>
      </c>
      <c r="AB46" s="129">
        <f t="shared" si="27"/>
        <v>0</v>
      </c>
      <c r="AC46" s="129">
        <f t="shared" si="27"/>
        <v>0</v>
      </c>
      <c r="AD46">
        <f t="shared" ref="AD46:BB46" si="28">COUNTIF(AD15:AD45,"&gt;0")</f>
        <v>0</v>
      </c>
      <c r="AE46">
        <f t="shared" si="28"/>
        <v>0</v>
      </c>
      <c r="AF46">
        <f t="shared" si="28"/>
        <v>0</v>
      </c>
      <c r="AG46">
        <f t="shared" si="28"/>
        <v>0</v>
      </c>
      <c r="AH46">
        <f t="shared" si="28"/>
        <v>0</v>
      </c>
      <c r="AI46">
        <f t="shared" si="28"/>
        <v>0</v>
      </c>
      <c r="AJ46">
        <f t="shared" si="28"/>
        <v>0</v>
      </c>
      <c r="AK46">
        <f t="shared" si="28"/>
        <v>0</v>
      </c>
      <c r="AL46">
        <f t="shared" si="28"/>
        <v>0</v>
      </c>
      <c r="AM46">
        <f t="shared" si="28"/>
        <v>0</v>
      </c>
      <c r="AN46">
        <f t="shared" si="28"/>
        <v>0</v>
      </c>
      <c r="AO46">
        <f t="shared" si="28"/>
        <v>0</v>
      </c>
      <c r="AP46">
        <f t="shared" si="28"/>
        <v>0</v>
      </c>
      <c r="AQ46">
        <f t="shared" si="28"/>
        <v>0</v>
      </c>
      <c r="AR46">
        <f t="shared" si="28"/>
        <v>0</v>
      </c>
      <c r="AS46">
        <f t="shared" si="28"/>
        <v>0</v>
      </c>
      <c r="AT46">
        <f t="shared" si="28"/>
        <v>0</v>
      </c>
      <c r="AU46">
        <f t="shared" si="28"/>
        <v>0</v>
      </c>
      <c r="AV46">
        <f t="shared" si="28"/>
        <v>0</v>
      </c>
      <c r="AW46">
        <f t="shared" si="28"/>
        <v>0</v>
      </c>
      <c r="AX46">
        <f t="shared" si="28"/>
        <v>0</v>
      </c>
      <c r="AY46">
        <f t="shared" si="28"/>
        <v>0</v>
      </c>
      <c r="AZ46">
        <f t="shared" si="28"/>
        <v>0</v>
      </c>
      <c r="BA46">
        <f t="shared" si="28"/>
        <v>0</v>
      </c>
      <c r="BB46">
        <f t="shared" si="28"/>
        <v>0</v>
      </c>
      <c r="BC46">
        <f>COUNTIF(BC15:BC45,"&gt;0")</f>
        <v>0</v>
      </c>
      <c r="BD46">
        <f t="shared" ref="BD46:BM46" si="29">COUNTIF(BD15:BD45,"&gt;0")</f>
        <v>0</v>
      </c>
      <c r="BE46">
        <f t="shared" si="29"/>
        <v>0</v>
      </c>
      <c r="BF46">
        <f t="shared" si="29"/>
        <v>0</v>
      </c>
      <c r="BG46">
        <f t="shared" si="29"/>
        <v>0</v>
      </c>
      <c r="BH46">
        <f t="shared" si="29"/>
        <v>0</v>
      </c>
      <c r="BI46">
        <f t="shared" si="29"/>
        <v>0</v>
      </c>
      <c r="BJ46">
        <f t="shared" si="29"/>
        <v>0</v>
      </c>
      <c r="BK46">
        <f t="shared" si="29"/>
        <v>0</v>
      </c>
      <c r="BL46">
        <f t="shared" si="29"/>
        <v>0</v>
      </c>
      <c r="BM46">
        <f t="shared" si="29"/>
        <v>0</v>
      </c>
      <c r="BN46" s="1">
        <f>SUM(BN15:BN45)</f>
        <v>0</v>
      </c>
      <c r="BO46" s="62"/>
      <c r="BP46" s="129">
        <f t="shared" ref="BP46:BT46" si="30">SUM(BP15:BP45)</f>
        <v>0</v>
      </c>
      <c r="BQ46" s="129">
        <f t="shared" si="30"/>
        <v>0</v>
      </c>
      <c r="BR46" s="129">
        <f t="shared" si="30"/>
        <v>0</v>
      </c>
      <c r="BS46" s="129">
        <f t="shared" si="30"/>
        <v>0</v>
      </c>
      <c r="BT46" s="129">
        <f t="shared" si="30"/>
        <v>0</v>
      </c>
      <c r="BU46" s="129"/>
      <c r="BV46" s="129"/>
      <c r="BW46" s="129"/>
      <c r="BX46" s="129"/>
      <c r="BY46" s="129"/>
      <c r="BZ46" s="129"/>
      <c r="CA46">
        <f t="shared" ref="CA46:CS46" si="31">COUNTIF(CA15:CA45,"&gt;0")</f>
        <v>0</v>
      </c>
      <c r="CB46">
        <f t="shared" si="31"/>
        <v>0</v>
      </c>
      <c r="CC46">
        <f t="shared" si="31"/>
        <v>0</v>
      </c>
      <c r="CD46">
        <f t="shared" si="31"/>
        <v>0</v>
      </c>
      <c r="CE46">
        <f t="shared" si="31"/>
        <v>0</v>
      </c>
      <c r="CF46">
        <f t="shared" si="31"/>
        <v>0</v>
      </c>
      <c r="CG46">
        <f t="shared" si="31"/>
        <v>0</v>
      </c>
      <c r="CH46">
        <f t="shared" si="31"/>
        <v>0</v>
      </c>
      <c r="CI46">
        <f t="shared" si="31"/>
        <v>0</v>
      </c>
      <c r="CJ46">
        <f t="shared" si="31"/>
        <v>0</v>
      </c>
      <c r="CK46">
        <f t="shared" si="31"/>
        <v>0</v>
      </c>
      <c r="CL46">
        <f t="shared" si="31"/>
        <v>0</v>
      </c>
      <c r="CM46">
        <f t="shared" si="31"/>
        <v>0</v>
      </c>
      <c r="CN46">
        <f t="shared" si="31"/>
        <v>0</v>
      </c>
      <c r="CO46">
        <f t="shared" si="31"/>
        <v>0</v>
      </c>
      <c r="CP46">
        <f t="shared" si="31"/>
        <v>0</v>
      </c>
      <c r="CQ46">
        <f t="shared" si="31"/>
        <v>0</v>
      </c>
      <c r="CR46">
        <f t="shared" si="31"/>
        <v>0</v>
      </c>
      <c r="CS46">
        <f t="shared" si="31"/>
        <v>0</v>
      </c>
      <c r="CT46">
        <f>COUNTIF(CT15:CT45,"&gt;0")</f>
        <v>0</v>
      </c>
      <c r="CU46">
        <f t="shared" ref="CU46:DD46" si="32">COUNTIF(CU15:CU45,"&gt;0")</f>
        <v>0</v>
      </c>
      <c r="CV46">
        <f t="shared" si="32"/>
        <v>0</v>
      </c>
      <c r="CW46">
        <f t="shared" si="32"/>
        <v>0</v>
      </c>
      <c r="CX46">
        <f t="shared" si="32"/>
        <v>0</v>
      </c>
      <c r="CY46">
        <f t="shared" si="32"/>
        <v>0</v>
      </c>
      <c r="CZ46">
        <f t="shared" si="32"/>
        <v>0</v>
      </c>
      <c r="DA46">
        <f t="shared" si="32"/>
        <v>0</v>
      </c>
      <c r="DB46">
        <f t="shared" si="32"/>
        <v>0</v>
      </c>
      <c r="DC46">
        <f t="shared" si="32"/>
        <v>0</v>
      </c>
      <c r="DD46">
        <f t="shared" si="32"/>
        <v>0</v>
      </c>
      <c r="DJ46" t="str">
        <f t="shared" si="12"/>
        <v/>
      </c>
      <c r="DK46" t="str">
        <f t="shared" si="12"/>
        <v/>
      </c>
      <c r="DL46" t="str">
        <f t="shared" ref="DL46" si="33">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7"/>
      <c r="AA47" s="137"/>
      <c r="AB47" s="115"/>
      <c r="AC47" s="129"/>
      <c r="AD47" s="115"/>
      <c r="AE47" s="115"/>
      <c r="AF47" s="129"/>
      <c r="AG47" s="129"/>
      <c r="AH47" s="129"/>
      <c r="AI47" s="129"/>
      <c r="AJ47" s="129"/>
      <c r="AK47" s="129"/>
      <c r="AL47" s="129"/>
      <c r="AM47" s="129"/>
      <c r="AN47" s="129"/>
      <c r="AO47" s="129"/>
      <c r="BR47" s="257"/>
      <c r="BS47" s="137"/>
      <c r="BT47" s="137"/>
      <c r="BU47" s="129"/>
      <c r="BV47" s="115"/>
      <c r="BW47" s="129"/>
      <c r="BX47" s="129"/>
      <c r="BY47" s="129"/>
      <c r="BZ47" s="129"/>
      <c r="CA47" s="34">
        <f>IF(OR(CA15&gt;0.1,AJ15&gt;0),1,0)+IF(OR(CA16&gt;0.1,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f>
        <v>0</v>
      </c>
      <c r="CB47" s="34">
        <f t="shared" ref="CB47:DD47" si="34">IF(OR(CB15&gt;0.1,AK15&gt;0),1,0)+IF(OR(CB16&gt;0.1,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f>
        <v>0</v>
      </c>
      <c r="CC47" s="34">
        <f t="shared" si="34"/>
        <v>0</v>
      </c>
      <c r="CD47" s="34">
        <f t="shared" si="34"/>
        <v>0</v>
      </c>
      <c r="CE47" s="34">
        <f t="shared" si="34"/>
        <v>0</v>
      </c>
      <c r="CF47" s="34">
        <f t="shared" si="34"/>
        <v>0</v>
      </c>
      <c r="CG47" s="34">
        <f t="shared" si="34"/>
        <v>0</v>
      </c>
      <c r="CH47" s="34">
        <f t="shared" si="34"/>
        <v>0</v>
      </c>
      <c r="CI47" s="34">
        <f t="shared" si="34"/>
        <v>0</v>
      </c>
      <c r="CJ47" s="34">
        <f t="shared" si="34"/>
        <v>0</v>
      </c>
      <c r="CK47" s="34">
        <f t="shared" si="34"/>
        <v>0</v>
      </c>
      <c r="CL47" s="34">
        <f t="shared" si="34"/>
        <v>0</v>
      </c>
      <c r="CM47" s="34">
        <f t="shared" si="34"/>
        <v>0</v>
      </c>
      <c r="CN47" s="34">
        <f t="shared" si="34"/>
        <v>0</v>
      </c>
      <c r="CO47" s="34">
        <f t="shared" si="34"/>
        <v>0</v>
      </c>
      <c r="CP47" s="34">
        <f t="shared" si="34"/>
        <v>0</v>
      </c>
      <c r="CQ47" s="34">
        <f t="shared" si="34"/>
        <v>0</v>
      </c>
      <c r="CR47" s="34">
        <f t="shared" si="34"/>
        <v>0</v>
      </c>
      <c r="CS47" s="34">
        <f t="shared" si="34"/>
        <v>0</v>
      </c>
      <c r="CT47" s="34">
        <f t="shared" si="34"/>
        <v>0</v>
      </c>
      <c r="CU47" s="34">
        <f t="shared" si="34"/>
        <v>0</v>
      </c>
      <c r="CV47" s="34">
        <f t="shared" si="34"/>
        <v>0</v>
      </c>
      <c r="CW47" s="34">
        <f t="shared" si="34"/>
        <v>0</v>
      </c>
      <c r="CX47" s="34">
        <f t="shared" si="34"/>
        <v>0</v>
      </c>
      <c r="CY47" s="34">
        <f t="shared" si="34"/>
        <v>0</v>
      </c>
      <c r="CZ47" s="34">
        <f t="shared" si="34"/>
        <v>0</v>
      </c>
      <c r="DA47" s="34">
        <f t="shared" si="34"/>
        <v>0</v>
      </c>
      <c r="DB47" s="34">
        <f t="shared" si="34"/>
        <v>0</v>
      </c>
      <c r="DC47" s="34">
        <f t="shared" si="34"/>
        <v>0</v>
      </c>
      <c r="DD47" s="34">
        <f t="shared" si="34"/>
        <v>0</v>
      </c>
    </row>
    <row r="48" spans="1:116" ht="70" customHeight="1">
      <c r="A48" s="873" t="str">
        <f>"Arbejdstid for "&amp;A13&amp;" måned:"</f>
        <v>Arbejdstid for Oktober måned:</v>
      </c>
      <c r="B48" s="874"/>
      <c r="C48" s="874"/>
      <c r="D48" s="874"/>
      <c r="E48" s="874"/>
      <c r="F48" s="874"/>
      <c r="G48" s="874"/>
      <c r="H48" s="201" t="s">
        <v>126</v>
      </c>
      <c r="I48" s="923" t="s">
        <v>115</v>
      </c>
      <c r="J48" s="924"/>
      <c r="K48" s="150"/>
      <c r="L48" s="966" t="s">
        <v>187</v>
      </c>
      <c r="M48" s="967"/>
      <c r="N48" s="967"/>
      <c r="O48" s="967"/>
      <c r="P48" s="967"/>
      <c r="Q48" s="967"/>
      <c r="R48" s="967"/>
      <c r="S48" s="968"/>
      <c r="T48" s="598" t="s">
        <v>361</v>
      </c>
      <c r="U48" s="373" t="s">
        <v>257</v>
      </c>
      <c r="V48" s="303"/>
      <c r="W48" s="117"/>
      <c r="X48" s="130"/>
      <c r="Y48" s="130"/>
      <c r="Z48" s="130"/>
      <c r="AA48"/>
      <c r="AB48"/>
      <c r="AK48" s="56"/>
      <c r="AL48" s="56"/>
      <c r="BO48" s="117"/>
      <c r="BP48" s="117"/>
      <c r="BQ48" s="130"/>
      <c r="BR48" s="130"/>
      <c r="BS48"/>
      <c r="BT48"/>
      <c r="CB48" s="56"/>
      <c r="CC48" s="56"/>
    </row>
    <row r="49" spans="1:114" ht="24" customHeight="1">
      <c r="A49" s="875" t="s">
        <v>270</v>
      </c>
      <c r="B49" s="876"/>
      <c r="C49" s="876"/>
      <c r="D49" s="876"/>
      <c r="E49" s="876"/>
      <c r="F49" s="876"/>
      <c r="G49" s="876"/>
      <c r="H49" s="145">
        <f>D83-D81-A93-D80</f>
        <v>23</v>
      </c>
      <c r="I49" s="852">
        <f>J65</f>
        <v>0</v>
      </c>
      <c r="J49" s="853"/>
      <c r="K49" s="147"/>
      <c r="L49" s="970"/>
      <c r="M49" s="971"/>
      <c r="N49" s="971"/>
      <c r="O49" s="971"/>
      <c r="P49" s="971"/>
      <c r="Q49" s="971"/>
      <c r="R49" s="971"/>
      <c r="S49" s="971"/>
      <c r="T49" s="392">
        <f>September!T56</f>
        <v>0</v>
      </c>
      <c r="U49" s="393">
        <f>September!U56</f>
        <v>0</v>
      </c>
      <c r="V49" s="303"/>
      <c r="W49" s="130"/>
      <c r="X49" s="130"/>
      <c r="Y49" s="130"/>
      <c r="Z49" s="130"/>
      <c r="AA49"/>
      <c r="AB49"/>
      <c r="AK49" s="56"/>
      <c r="AL49" s="56"/>
      <c r="BO49" s="130"/>
      <c r="BP49" s="130"/>
      <c r="BQ49" s="130"/>
      <c r="BR49" s="130"/>
      <c r="BS49"/>
      <c r="BT49"/>
      <c r="CB49" s="56"/>
      <c r="CC49" s="56"/>
    </row>
    <row r="50" spans="1:114" ht="24" customHeight="1">
      <c r="A50" s="875" t="str">
        <f>"Ferie "&amp;A13&amp;" måned"</f>
        <v>Ferie Oktober måned</v>
      </c>
      <c r="B50" s="876"/>
      <c r="C50" s="876"/>
      <c r="D50" s="876"/>
      <c r="E50" s="876"/>
      <c r="F50" s="876"/>
      <c r="G50" s="876"/>
      <c r="H50" s="146" t="str">
        <f>IF(D77&gt;0,$D$77,"0")</f>
        <v>0</v>
      </c>
      <c r="I50" s="961">
        <f>H50*7.4*Stamoplysninger!E21</f>
        <v>0</v>
      </c>
      <c r="J50" s="962"/>
      <c r="K50" s="147"/>
      <c r="L50" s="388" t="s">
        <v>190</v>
      </c>
      <c r="M50" s="389"/>
      <c r="N50" s="389"/>
      <c r="O50" s="389"/>
      <c r="P50" s="389"/>
      <c r="Q50" s="389"/>
      <c r="R50" s="389"/>
      <c r="S50" s="389"/>
      <c r="T50" s="592"/>
      <c r="U50" s="595"/>
      <c r="V50" s="303"/>
      <c r="W50" s="130"/>
      <c r="X50" s="130"/>
      <c r="Y50" s="130"/>
      <c r="Z50" s="130"/>
      <c r="AA50"/>
      <c r="AB50"/>
      <c r="AK50" s="56"/>
      <c r="AL50" s="56"/>
      <c r="BO50" s="130"/>
      <c r="BP50" s="130"/>
      <c r="BQ50" s="130"/>
      <c r="BR50" s="130"/>
      <c r="BS50"/>
      <c r="BT50"/>
      <c r="CB50" s="56"/>
      <c r="CC50" s="56"/>
    </row>
    <row r="51" spans="1:114" ht="24" customHeight="1">
      <c r="A51" s="875" t="str">
        <f>"Søgnehelligdage i "&amp;A13&amp;" måned"</f>
        <v>Søgnehelligdage i Oktober måned</v>
      </c>
      <c r="B51" s="876"/>
      <c r="C51" s="876"/>
      <c r="D51" s="876"/>
      <c r="E51" s="876"/>
      <c r="F51" s="876"/>
      <c r="G51" s="876"/>
      <c r="H51" s="146">
        <f>IF(D82&gt;0,D82,0)</f>
        <v>0</v>
      </c>
      <c r="I51" s="961">
        <f>H51*7.4*Stamoplysninger!E21</f>
        <v>0</v>
      </c>
      <c r="J51" s="962"/>
      <c r="K51" s="225"/>
      <c r="L51" s="948" t="s">
        <v>363</v>
      </c>
      <c r="M51" s="949"/>
      <c r="N51" s="949"/>
      <c r="O51" s="949"/>
      <c r="P51" s="949"/>
      <c r="Q51" s="949"/>
      <c r="R51" s="949"/>
      <c r="S51" s="949"/>
      <c r="T51" s="949"/>
      <c r="U51" s="950"/>
      <c r="V51" s="303"/>
      <c r="W51" s="130"/>
      <c r="X51" s="130"/>
      <c r="Y51" s="130"/>
      <c r="Z51" s="130"/>
      <c r="AA51"/>
      <c r="AB51"/>
      <c r="AK51" s="56"/>
      <c r="AL51" s="56"/>
      <c r="BO51" s="130"/>
      <c r="BP51" s="130"/>
      <c r="BQ51" s="130"/>
      <c r="BR51" s="130"/>
      <c r="BS51"/>
      <c r="BT51"/>
      <c r="CB51" s="56"/>
      <c r="CC51" s="56"/>
    </row>
    <row r="52" spans="1:114" ht="24" customHeight="1">
      <c r="A52" s="875" t="str">
        <f>"Nettoarbejdstid ialt i "&amp;A13&amp;" måned"</f>
        <v>Nettoarbejdstid ialt i Oktober måned</v>
      </c>
      <c r="B52" s="876"/>
      <c r="C52" s="876"/>
      <c r="D52" s="876"/>
      <c r="E52" s="876"/>
      <c r="F52" s="876"/>
      <c r="G52" s="876"/>
      <c r="H52" s="148">
        <f>H49-H50-H51</f>
        <v>23</v>
      </c>
      <c r="I52" s="961">
        <f>IF(Stamoplysninger!$E$18="Ikke omfattet af overenskomst - ansat med en fast årsnorm",Stamoplysninger!$E$20/228*H52*Stamoplysninger!$E$21,I49-I50-I51)</f>
        <v>0</v>
      </c>
      <c r="J52" s="962"/>
      <c r="K52" s="225"/>
      <c r="L52" s="375" t="s">
        <v>362</v>
      </c>
      <c r="M52" s="376" t="s">
        <v>201</v>
      </c>
      <c r="N52" s="954" t="s">
        <v>277</v>
      </c>
      <c r="O52" s="949"/>
      <c r="P52" s="949"/>
      <c r="Q52" s="949"/>
      <c r="R52" s="949"/>
      <c r="S52" s="955"/>
      <c r="T52" s="921" t="s">
        <v>188</v>
      </c>
      <c r="U52" s="922"/>
      <c r="V52" s="303"/>
      <c r="W52" s="130"/>
      <c r="X52" s="130"/>
      <c r="Y52" s="130"/>
      <c r="Z52" s="130"/>
      <c r="AA52"/>
      <c r="AB52"/>
      <c r="AK52" s="56"/>
      <c r="AL52" s="56"/>
      <c r="BO52" s="130"/>
      <c r="BP52" s="130"/>
      <c r="BQ52" s="130"/>
      <c r="BR52" s="130"/>
      <c r="BS52"/>
      <c r="BT52"/>
      <c r="CB52" s="56"/>
      <c r="CC52" s="56"/>
    </row>
    <row r="53" spans="1:114" ht="24" customHeight="1">
      <c r="A53" s="881" t="str">
        <f>"Planlagt arbejdstid efter ovennstående "&amp;A13&amp;" måned kalender"</f>
        <v>Planlagt arbejdstid efter ovennstående Oktober måned kalender</v>
      </c>
      <c r="B53" s="882"/>
      <c r="C53" s="882"/>
      <c r="D53" s="882"/>
      <c r="E53" s="882"/>
      <c r="F53" s="882"/>
      <c r="G53" s="882"/>
      <c r="H53" s="281">
        <f>D60+D61+D62+D63+D66+D67+D74+D68+D69+D70+D71+D72+D73+D75+D76+D64+D65</f>
        <v>23</v>
      </c>
      <c r="I53" s="940">
        <f>K46+L46+M46-J60</f>
        <v>0</v>
      </c>
      <c r="J53" s="941"/>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883" t="str">
        <f>"Arbejde særligt planlagt for "&amp;A13&amp;" måned efter fanen normale uger"</f>
        <v>Arbejde særligt planlagt for Oktober måned efter fanen normale uger</v>
      </c>
      <c r="B54" s="884"/>
      <c r="C54" s="884"/>
      <c r="D54" s="884"/>
      <c r="E54" s="884"/>
      <c r="F54" s="884"/>
      <c r="G54" s="884"/>
      <c r="H54" s="885"/>
      <c r="I54" s="942">
        <f>IF(I53=0,0,'Normal uger'!N98)</f>
        <v>0</v>
      </c>
      <c r="J54" s="943"/>
      <c r="K54" s="226"/>
      <c r="L54" s="372"/>
      <c r="M54" s="304"/>
      <c r="N54" s="956"/>
      <c r="O54" s="957"/>
      <c r="P54" s="957"/>
      <c r="Q54" s="957"/>
      <c r="R54" s="957"/>
      <c r="S54" s="958"/>
      <c r="T54" s="304"/>
      <c r="U54" s="371"/>
      <c r="V54" s="303"/>
      <c r="W54" s="130"/>
      <c r="X54" s="130"/>
      <c r="Y54" s="130"/>
      <c r="Z54" s="130"/>
      <c r="AA54"/>
      <c r="AB54"/>
      <c r="AK54" s="56"/>
      <c r="AL54" s="56"/>
      <c r="BO54" s="130"/>
      <c r="BP54" s="130"/>
      <c r="BQ54" s="130"/>
      <c r="BR54" s="130"/>
      <c r="BS54"/>
      <c r="BT54"/>
      <c r="CB54" s="56"/>
      <c r="CC54" s="56"/>
    </row>
    <row r="55" spans="1:114" ht="24" customHeight="1">
      <c r="A55" s="413" t="s">
        <v>273</v>
      </c>
      <c r="B55" s="414"/>
      <c r="C55" s="414"/>
      <c r="D55" s="414"/>
      <c r="E55" s="414"/>
      <c r="F55" s="414"/>
      <c r="G55" s="414"/>
      <c r="H55" s="415"/>
      <c r="I55" s="959" t="e">
        <f>IF(Arbejdstidsoversigt!$H$54="Puljetimer registreres i månedskalendere",O46-L60,SUM(Arbejdstidsoversigt!J34:J52)/Arbejdstidsoversigt!$G$20*H52)</f>
        <v>#DIV/0!</v>
      </c>
      <c r="J55" s="960"/>
      <c r="K55" s="226"/>
      <c r="L55" s="372"/>
      <c r="M55" s="304"/>
      <c r="N55" s="956"/>
      <c r="O55" s="957"/>
      <c r="P55" s="957"/>
      <c r="Q55" s="957"/>
      <c r="R55" s="957"/>
      <c r="S55" s="958"/>
      <c r="T55" s="353"/>
      <c r="U55" s="371"/>
      <c r="V55" s="406"/>
      <c r="W55" s="406"/>
      <c r="X55" s="303"/>
      <c r="Y55" s="130"/>
      <c r="Z55" s="130"/>
      <c r="AA55" s="130"/>
      <c r="AB55" s="130"/>
      <c r="AM55" s="56"/>
      <c r="AN55" s="56"/>
      <c r="BQ55" s="130"/>
      <c r="BR55" s="130"/>
      <c r="BS55" s="130"/>
      <c r="BT55" s="130"/>
      <c r="CD55" s="56"/>
      <c r="CE55" s="56"/>
    </row>
    <row r="56" spans="1:114" ht="24" customHeight="1">
      <c r="A56" s="877" t="s">
        <v>248</v>
      </c>
      <c r="B56" s="878"/>
      <c r="C56" s="878"/>
      <c r="D56" s="878"/>
      <c r="E56" s="878"/>
      <c r="F56" s="878"/>
      <c r="G56" s="878"/>
      <c r="H56" s="878"/>
      <c r="I56" s="944">
        <f>S46+U46+T46-P60-Q60-R60</f>
        <v>0</v>
      </c>
      <c r="J56" s="945"/>
      <c r="K56" s="227"/>
      <c r="L56" s="372"/>
      <c r="M56" s="304"/>
      <c r="N56" s="956"/>
      <c r="O56" s="957"/>
      <c r="P56" s="957"/>
      <c r="Q56" s="957"/>
      <c r="R56" s="957"/>
      <c r="S56" s="958"/>
      <c r="T56" s="304"/>
      <c r="U56" s="371"/>
      <c r="V56" s="303"/>
      <c r="W56" s="137"/>
      <c r="X56" s="130"/>
      <c r="Z56" s="130"/>
      <c r="AA56" s="130"/>
      <c r="AB56"/>
      <c r="AM56" s="56"/>
      <c r="AN56" s="56"/>
      <c r="BO56" s="137"/>
      <c r="BP56" s="137"/>
      <c r="BR56" s="130"/>
      <c r="BS56"/>
      <c r="BT56"/>
      <c r="CD56" s="56"/>
      <c r="CE56" s="56"/>
    </row>
    <row r="57" spans="1:114" ht="24" customHeight="1" thickBot="1">
      <c r="A57" s="149" t="str">
        <f>"Faktisk arbejdstid ialt i "&amp;A13&amp;" måned"</f>
        <v>Faktisk arbejdstid ialt i Oktober måned</v>
      </c>
      <c r="B57" s="188"/>
      <c r="C57" s="189"/>
      <c r="D57" s="189"/>
      <c r="E57" s="189"/>
      <c r="F57" s="189"/>
      <c r="G57" s="189"/>
      <c r="H57" s="190"/>
      <c r="I57" s="946" t="e">
        <f>SUM(I53:J56)</f>
        <v>#DIV/0!</v>
      </c>
      <c r="J57" s="947"/>
      <c r="K57" s="131"/>
      <c r="L57" s="951" t="s">
        <v>189</v>
      </c>
      <c r="M57" s="952"/>
      <c r="N57" s="952"/>
      <c r="O57" s="952"/>
      <c r="P57" s="952"/>
      <c r="Q57" s="952"/>
      <c r="R57" s="952"/>
      <c r="S57" s="953"/>
      <c r="T57" s="387">
        <f>T49+T50-SUM(T53:T56)</f>
        <v>0</v>
      </c>
      <c r="U57" s="394">
        <f>U49+U50-SUM(U53:U56)</f>
        <v>0</v>
      </c>
      <c r="V57" s="303"/>
      <c r="W57" s="137"/>
      <c r="X57" s="130"/>
      <c r="Z57" s="130"/>
      <c r="AA57" s="130"/>
      <c r="AB57"/>
      <c r="AL57" s="56"/>
      <c r="AM57" s="56"/>
      <c r="BG57" s="56"/>
      <c r="BH57" s="56"/>
      <c r="BO57" s="137"/>
      <c r="BP57" s="137"/>
      <c r="BR57" s="130"/>
      <c r="BS57"/>
      <c r="BT57"/>
      <c r="CC57" s="56"/>
      <c r="CD57" s="56"/>
    </row>
    <row r="58" spans="1:114" hidden="1">
      <c r="A58" s="144"/>
      <c r="B58" s="144"/>
      <c r="C58" s="144"/>
      <c r="D58" s="144"/>
      <c r="E58" s="144"/>
      <c r="F58" s="144"/>
      <c r="G58" s="144"/>
      <c r="H58" s="144"/>
      <c r="I58" s="302"/>
      <c r="J58" s="302"/>
      <c r="K58" s="302"/>
      <c r="L58" s="290"/>
      <c r="M58" s="252"/>
      <c r="N58" s="252"/>
      <c r="O58" s="252"/>
      <c r="P58" s="252"/>
      <c r="Q58" s="252"/>
      <c r="R58" s="205"/>
      <c r="S58" s="253"/>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6"/>
      <c r="B59" s="286"/>
      <c r="C59" s="286"/>
      <c r="D59" s="286"/>
      <c r="E59" s="286"/>
      <c r="F59" s="286"/>
      <c r="G59" s="286"/>
      <c r="H59" s="287"/>
      <c r="I59" s="288"/>
      <c r="K59" s="286"/>
      <c r="L59" s="289"/>
      <c r="M59" s="279"/>
      <c r="N59" s="252"/>
      <c r="O59" s="252"/>
      <c r="P59" s="279"/>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295" t="s">
        <v>217</v>
      </c>
      <c r="B60" s="295"/>
      <c r="C60" s="295"/>
      <c r="D60" s="295">
        <f>COUNTIF([0]!Oktober1,"Normal uge 1")</f>
        <v>23</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 si="35">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204</v>
      </c>
      <c r="B61" s="969"/>
      <c r="C61" s="969"/>
      <c r="D61" s="295">
        <f>COUNTIF([0]!Oktober1,"Normal uge 2")</f>
        <v>0</v>
      </c>
      <c r="E61" s="296"/>
      <c r="F61" s="295"/>
      <c r="G61" s="295" t="s">
        <v>489</v>
      </c>
      <c r="H61" s="852">
        <f>IF(AND(Stamoplysninger!$E$18="BUPL/FOA",Stamoplysninger!$E$19="Ja"),1924/Arbejdstidsoversigt!$K$13*Stamoplysninger!$E$21*$H$49,H49*7.4*Stamoplysninger!$E$21)</f>
        <v>0</v>
      </c>
      <c r="I61" s="853"/>
      <c r="J61" s="289">
        <f>IF(Stamoplysninger!$E$18="BUPL/FOA",H61,0)</f>
        <v>0</v>
      </c>
      <c r="K61" s="291"/>
      <c r="L61" s="292"/>
      <c r="M61" s="290"/>
      <c r="N61" s="290"/>
      <c r="O61" s="290"/>
      <c r="P61" s="290"/>
      <c r="Q61" s="291"/>
      <c r="R61" s="291"/>
      <c r="S61" s="291"/>
      <c r="T61" s="291"/>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205</v>
      </c>
      <c r="B62" s="969"/>
      <c r="C62" s="969"/>
      <c r="D62" s="295">
        <f>COUNTIF([0]!Oktober1,"Normal uge 3")</f>
        <v>0</v>
      </c>
      <c r="E62" s="296"/>
      <c r="F62" s="295"/>
      <c r="G62" s="295" t="s">
        <v>212</v>
      </c>
      <c r="H62" s="852">
        <f>IF(AND(Stamoplysninger!$E$18="HK",Stamoplysninger!$E$19="Ja"),1924/Arbejdstidsoversigt!$K$13*Stamoplysninger!$E$21*$H$49,$H$49*7.4*Stamoplysninger!$E$21)</f>
        <v>0</v>
      </c>
      <c r="I62" s="853"/>
      <c r="J62" s="289">
        <f>IF(Stamoplysninger!$E$18="HK",H62,0)</f>
        <v>0</v>
      </c>
      <c r="K62" s="291"/>
      <c r="L62" s="292"/>
      <c r="M62" s="290"/>
      <c r="N62" s="290"/>
      <c r="O62" s="290"/>
      <c r="P62" s="290"/>
      <c r="Q62" s="291"/>
      <c r="R62" s="291"/>
      <c r="S62" s="291"/>
      <c r="T62" s="291"/>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69" t="s">
        <v>206</v>
      </c>
      <c r="B63" s="969"/>
      <c r="C63" s="969"/>
      <c r="D63" s="295">
        <f>COUNTIF([0]!Oktober1,"Normal uge 4")</f>
        <v>0</v>
      </c>
      <c r="E63" s="296"/>
      <c r="F63" s="295"/>
      <c r="G63" s="295" t="s">
        <v>213</v>
      </c>
      <c r="H63" s="288">
        <f>IF(Stamoplysninger!$E$18="3F",7.4*Stamoplysninger!$E$21*$H$49,0)</f>
        <v>0</v>
      </c>
      <c r="I63" s="288"/>
      <c r="J63" s="289">
        <f>IF(Stamoplysninger!$E$18="3f",H63,0)</f>
        <v>0</v>
      </c>
      <c r="K63" s="291"/>
      <c r="L63" s="292"/>
      <c r="M63" s="290"/>
      <c r="N63" s="290"/>
      <c r="O63" s="290"/>
      <c r="P63" s="290"/>
      <c r="Q63" s="291"/>
      <c r="R63" s="291"/>
      <c r="S63" s="291"/>
      <c r="T63" s="291"/>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0" t="s">
        <v>406</v>
      </c>
      <c r="B64" s="650"/>
      <c r="C64" s="650"/>
      <c r="D64" s="295">
        <f>COUNTIF([0]!Oktober1,"Normal uge 5")</f>
        <v>0</v>
      </c>
      <c r="E64" s="296"/>
      <c r="F64" s="295"/>
      <c r="G64" s="295" t="s">
        <v>498</v>
      </c>
      <c r="H64" s="288">
        <f>IF(Stamoplysninger!$E$18="Ikke omfattet af overenskomst - ansat med en variabel årsnorm",7.4*Stamoplysninger!$E$21*$H$49,0)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52" t="s">
        <v>407</v>
      </c>
      <c r="B65" s="652"/>
      <c r="C65" s="652"/>
      <c r="D65" s="295">
        <f>COUNTIF([0]!Oktober1,"Normal uge 6")</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295" t="s">
        <v>228</v>
      </c>
      <c r="B66" s="295"/>
      <c r="C66" s="295"/>
      <c r="D66" s="295">
        <f>COUNTIF([0]!Oktober1,"Anderledes dag")</f>
        <v>0</v>
      </c>
      <c r="E66" s="296"/>
      <c r="F66" s="295"/>
      <c r="G66" s="295"/>
      <c r="H66" s="288"/>
      <c r="I66" s="292"/>
      <c r="J66" s="289"/>
      <c r="K66" s="291"/>
      <c r="L66" s="292"/>
      <c r="M66" s="290"/>
      <c r="N66" s="290"/>
      <c r="O66" s="290"/>
      <c r="P66" s="290"/>
      <c r="Q66" s="291"/>
      <c r="R66" s="291"/>
      <c r="S66" s="291"/>
      <c r="T66" s="291"/>
      <c r="AA66"/>
      <c r="AB66"/>
      <c r="AW66" s="1"/>
      <c r="BG66" s="1"/>
      <c r="BR66" s="63"/>
      <c r="BS66"/>
      <c r="BT66"/>
      <c r="CN66" s="1"/>
      <c r="CX66" s="1"/>
      <c r="DG66" s="138"/>
    </row>
    <row r="67" spans="1:114" hidden="1">
      <c r="A67" s="297" t="s">
        <v>370</v>
      </c>
      <c r="B67" s="295"/>
      <c r="C67" s="295"/>
      <c r="D67" s="295">
        <f>COUNTIF([0]!Oktober1,"Ferieåbning")</f>
        <v>0</v>
      </c>
      <c r="E67" s="296"/>
      <c r="F67" s="295"/>
      <c r="G67" s="295"/>
      <c r="H67" s="288"/>
      <c r="I67" s="292"/>
      <c r="J67" s="292"/>
      <c r="K67" s="292"/>
      <c r="L67" s="292"/>
      <c r="M67" s="290"/>
      <c r="N67" s="290"/>
      <c r="O67" s="290"/>
      <c r="P67" s="290"/>
      <c r="Q67" s="291"/>
      <c r="R67" s="291"/>
      <c r="S67" s="291"/>
      <c r="T67" s="291"/>
      <c r="AA67"/>
      <c r="AB67"/>
      <c r="AW67" s="1"/>
      <c r="BG67" s="1"/>
      <c r="BR67" s="63"/>
      <c r="BS67"/>
      <c r="BT67"/>
      <c r="CN67" s="1"/>
      <c r="CX67" s="1"/>
      <c r="DG67" s="138"/>
    </row>
    <row r="68" spans="1:114" hidden="1">
      <c r="A68" s="297" t="s">
        <v>218</v>
      </c>
      <c r="B68" s="295"/>
      <c r="C68" s="295"/>
      <c r="D68" s="295">
        <f>COUNTIF([0]!Oktober1,"Rul 1")</f>
        <v>0</v>
      </c>
      <c r="E68" s="296"/>
      <c r="F68" s="295"/>
      <c r="G68" s="295"/>
      <c r="H68" s="288"/>
      <c r="I68" s="292"/>
      <c r="J68" s="292"/>
      <c r="K68" s="292"/>
      <c r="L68" s="292"/>
      <c r="M68" s="290"/>
      <c r="N68" s="290"/>
      <c r="O68" s="290"/>
      <c r="P68" s="290"/>
      <c r="Q68" s="291"/>
      <c r="R68" s="291"/>
      <c r="S68" s="291"/>
      <c r="T68" s="291"/>
      <c r="AA68"/>
      <c r="AB68"/>
      <c r="AW68" s="1"/>
      <c r="BG68" s="1"/>
      <c r="BR68" s="63"/>
      <c r="BS68"/>
      <c r="BT68"/>
      <c r="CN68" s="1"/>
      <c r="CX68" s="1"/>
      <c r="DG68" s="138"/>
    </row>
    <row r="69" spans="1:114" hidden="1">
      <c r="A69" s="297" t="s">
        <v>219</v>
      </c>
      <c r="B69" s="295"/>
      <c r="C69" s="295"/>
      <c r="D69" s="295">
        <f>COUNTIF([0]!Oktober1,"Rul 2")</f>
        <v>0</v>
      </c>
      <c r="E69" s="296"/>
      <c r="F69" s="295"/>
      <c r="G69" s="295"/>
      <c r="H69" s="288"/>
      <c r="I69" s="292"/>
      <c r="J69" s="292"/>
      <c r="K69" s="292"/>
      <c r="L69" s="292"/>
      <c r="M69" s="291"/>
      <c r="N69" s="290"/>
      <c r="O69" s="290"/>
      <c r="P69" s="291"/>
      <c r="Q69" s="291"/>
      <c r="R69" s="291"/>
      <c r="S69" s="291"/>
      <c r="T69" s="291"/>
      <c r="AA69"/>
      <c r="AB69"/>
      <c r="AW69" s="1"/>
      <c r="BG69" s="1"/>
      <c r="BR69" s="63"/>
      <c r="BS69"/>
      <c r="BT69"/>
      <c r="CN69" s="1"/>
      <c r="CX69" s="1"/>
      <c r="DG69" s="138"/>
    </row>
    <row r="70" spans="1:114" hidden="1">
      <c r="A70" s="297" t="s">
        <v>220</v>
      </c>
      <c r="B70" s="295"/>
      <c r="C70" s="295"/>
      <c r="D70" s="295">
        <f>COUNTIF([0]!Oktober1,"Rul 3")</f>
        <v>0</v>
      </c>
      <c r="E70" s="296"/>
      <c r="F70" s="295"/>
      <c r="G70" s="295"/>
      <c r="H70" s="288"/>
      <c r="I70" s="292"/>
      <c r="J70" s="292"/>
      <c r="K70" s="292"/>
      <c r="L70" s="292"/>
      <c r="M70" s="291"/>
      <c r="N70" s="291"/>
      <c r="O70" s="291"/>
      <c r="P70" s="288"/>
      <c r="Q70" s="291"/>
      <c r="R70" s="291"/>
      <c r="S70" s="291"/>
      <c r="T70" s="291"/>
      <c r="AA70"/>
      <c r="AB70"/>
      <c r="AW70" s="1"/>
      <c r="BG70" s="1"/>
      <c r="BR70" s="63"/>
      <c r="BS70"/>
      <c r="BT70"/>
      <c r="CN70" s="1"/>
      <c r="CX70" s="1"/>
      <c r="DG70" s="138"/>
    </row>
    <row r="71" spans="1:114" hidden="1">
      <c r="A71" s="297" t="s">
        <v>221</v>
      </c>
      <c r="B71" s="295"/>
      <c r="C71" s="295"/>
      <c r="D71" s="295">
        <f>COUNTIF([0]!Oktober1,"Rul 4")</f>
        <v>0</v>
      </c>
      <c r="E71" s="296"/>
      <c r="F71" s="295"/>
      <c r="G71" s="295"/>
      <c r="H71" s="288"/>
      <c r="I71" s="292"/>
      <c r="J71" s="292"/>
      <c r="K71" s="292"/>
      <c r="L71" s="292"/>
      <c r="M71" s="291"/>
      <c r="N71" s="291"/>
      <c r="O71" s="291"/>
      <c r="P71" s="291"/>
      <c r="Q71" s="291"/>
      <c r="R71" s="291"/>
      <c r="S71" s="291"/>
      <c r="T71" s="291"/>
      <c r="AA71"/>
      <c r="AB71"/>
      <c r="AW71" s="1"/>
      <c r="BG71" s="1"/>
      <c r="BS71"/>
      <c r="BT71"/>
      <c r="CN71" s="1"/>
      <c r="CX71" s="1"/>
      <c r="DG71" s="138"/>
    </row>
    <row r="72" spans="1:114" hidden="1">
      <c r="A72" s="297" t="s">
        <v>222</v>
      </c>
      <c r="B72" s="295"/>
      <c r="C72" s="295"/>
      <c r="D72" s="295">
        <f>COUNTIF([0]!Oktober1,"Rul 5")</f>
        <v>0</v>
      </c>
      <c r="E72" s="296"/>
      <c r="F72" s="295"/>
      <c r="G72" s="295"/>
      <c r="H72" s="288"/>
      <c r="I72" s="292"/>
      <c r="J72" s="292"/>
      <c r="K72" s="292"/>
      <c r="L72" s="292"/>
      <c r="M72" s="291"/>
      <c r="N72" s="291"/>
      <c r="O72" s="291"/>
      <c r="P72" s="291"/>
      <c r="Q72" s="291"/>
      <c r="R72" s="291"/>
      <c r="S72" s="291"/>
      <c r="T72" s="291"/>
      <c r="AA72"/>
      <c r="AB72"/>
      <c r="AW72" s="1"/>
      <c r="BG72" s="1"/>
      <c r="BS72"/>
      <c r="BT72"/>
      <c r="CN72" s="1"/>
      <c r="CX72" s="1"/>
      <c r="DG72" s="138"/>
    </row>
    <row r="73" spans="1:114" hidden="1">
      <c r="A73" s="297" t="s">
        <v>223</v>
      </c>
      <c r="B73" s="295"/>
      <c r="C73" s="295"/>
      <c r="D73" s="295">
        <f>COUNTIF([0]!Oktober1,"Rul 6")</f>
        <v>0</v>
      </c>
      <c r="E73" s="296"/>
      <c r="F73" s="298"/>
      <c r="G73" s="298"/>
      <c r="H73" s="294"/>
      <c r="I73" s="292"/>
      <c r="J73" s="292"/>
      <c r="K73" s="292"/>
      <c r="L73" s="292"/>
      <c r="M73" s="291"/>
      <c r="N73" s="291"/>
      <c r="O73" s="291"/>
      <c r="P73" s="291"/>
      <c r="Q73" s="291"/>
      <c r="R73" s="291"/>
      <c r="S73" s="291"/>
      <c r="T73" s="291"/>
      <c r="AA73"/>
      <c r="AB73"/>
      <c r="AW73" s="1"/>
      <c r="BG73" s="1"/>
      <c r="BS73"/>
      <c r="BT73"/>
      <c r="CN73" s="1"/>
      <c r="CX73" s="1"/>
      <c r="DG73" s="138"/>
    </row>
    <row r="74" spans="1:114" hidden="1">
      <c r="A74" s="295" t="s">
        <v>83</v>
      </c>
      <c r="B74" s="295"/>
      <c r="C74" s="295"/>
      <c r="D74" s="295">
        <f>COUNTIF([0]!Oktober1,"Pæd.dag")</f>
        <v>0</v>
      </c>
      <c r="E74" s="296"/>
      <c r="F74" s="295"/>
      <c r="G74" s="295"/>
      <c r="H74" s="288"/>
      <c r="I74" s="292"/>
      <c r="J74" s="292"/>
      <c r="K74" s="292"/>
      <c r="L74" s="291"/>
      <c r="M74" s="291"/>
      <c r="N74" s="291"/>
      <c r="O74" s="291"/>
      <c r="P74" s="291"/>
      <c r="Q74" s="291"/>
      <c r="R74" s="291"/>
      <c r="S74" s="291"/>
      <c r="T74" s="291"/>
      <c r="AA74"/>
      <c r="AB74"/>
      <c r="AW74" s="1"/>
      <c r="BG74" s="1"/>
      <c r="BS74"/>
      <c r="BT74"/>
      <c r="CN74" s="1"/>
      <c r="CX74" s="1"/>
      <c r="DG74" s="138"/>
    </row>
    <row r="75" spans="1:114" hidden="1">
      <c r="A75" s="295" t="s">
        <v>227</v>
      </c>
      <c r="B75" s="295"/>
      <c r="C75" s="295"/>
      <c r="D75" s="295">
        <f>COUNTIF([0]!Oktober1,"Koloni")</f>
        <v>0</v>
      </c>
      <c r="E75" s="296"/>
      <c r="F75" s="295"/>
      <c r="G75" s="295"/>
      <c r="H75" s="288"/>
      <c r="I75" s="292"/>
      <c r="J75" s="292"/>
      <c r="K75" s="292"/>
      <c r="L75" s="291"/>
      <c r="M75" s="291"/>
      <c r="N75" s="291"/>
      <c r="O75" s="291"/>
      <c r="P75" s="291"/>
      <c r="Q75" s="291"/>
      <c r="R75" s="291"/>
      <c r="S75" s="291"/>
      <c r="T75" s="291"/>
      <c r="AA75"/>
      <c r="AB75"/>
      <c r="AW75" s="1"/>
      <c r="BG75" s="1"/>
      <c r="BS75"/>
      <c r="BT75"/>
      <c r="CN75" s="1"/>
      <c r="CX75" s="1"/>
      <c r="DG75" s="138"/>
    </row>
    <row r="76" spans="1:114" hidden="1">
      <c r="A76" s="295" t="s">
        <v>82</v>
      </c>
      <c r="B76" s="295"/>
      <c r="C76" s="295"/>
      <c r="D76" s="295">
        <f>COUNTIF([0]!Oktober1,"Ekskursion")</f>
        <v>0</v>
      </c>
      <c r="E76" s="296"/>
      <c r="F76" s="295"/>
      <c r="G76" s="295"/>
      <c r="H76" s="288"/>
      <c r="I76" s="292"/>
      <c r="J76" s="292"/>
      <c r="K76" s="292"/>
      <c r="L76" s="291"/>
      <c r="M76" s="291"/>
      <c r="N76" s="291"/>
      <c r="O76" s="291"/>
      <c r="P76" s="291"/>
      <c r="Q76" s="291"/>
      <c r="R76" s="291"/>
      <c r="S76" s="291"/>
      <c r="T76" s="291"/>
      <c r="AA76"/>
      <c r="AB76"/>
      <c r="AW76" s="1"/>
      <c r="BG76" s="1"/>
      <c r="BS76"/>
      <c r="BT76"/>
      <c r="CN76" s="1"/>
      <c r="CX76" s="1"/>
      <c r="DG76" s="138"/>
    </row>
    <row r="77" spans="1:114" hidden="1">
      <c r="A77" s="295" t="s">
        <v>109</v>
      </c>
      <c r="B77" s="295"/>
      <c r="C77" s="295"/>
      <c r="D77" s="295">
        <f>COUNTIF([0]!Oktober1,"Feriedag")</f>
        <v>0</v>
      </c>
      <c r="E77" s="295"/>
      <c r="F77" s="295"/>
      <c r="G77" s="295"/>
      <c r="H77" s="288"/>
      <c r="I77" s="292"/>
      <c r="J77" s="292"/>
      <c r="K77" s="292"/>
      <c r="L77" s="291"/>
      <c r="M77" s="291"/>
      <c r="N77" s="291"/>
      <c r="O77" s="291"/>
      <c r="P77" s="291"/>
      <c r="Q77" s="291"/>
      <c r="R77" s="291"/>
      <c r="S77" s="291"/>
      <c r="T77" s="291"/>
      <c r="AA77"/>
      <c r="AB77"/>
      <c r="AW77" s="1"/>
      <c r="BG77" s="1"/>
      <c r="BS77"/>
      <c r="BT77"/>
      <c r="CN77" s="1"/>
      <c r="CX77" s="1"/>
      <c r="DG77" s="138"/>
    </row>
    <row r="78" spans="1:114" hidden="1">
      <c r="A78" s="295" t="s">
        <v>78</v>
      </c>
      <c r="B78" s="295"/>
      <c r="C78" s="295"/>
      <c r="D78" s="295">
        <f>COUNTIF([0]!Oktober1,"Nul-dag")</f>
        <v>0</v>
      </c>
      <c r="E78" s="299"/>
      <c r="F78" s="295"/>
      <c r="G78" s="295"/>
      <c r="H78" s="288"/>
      <c r="I78" s="292"/>
      <c r="J78" s="292"/>
      <c r="K78" s="292"/>
      <c r="L78" s="291"/>
      <c r="M78" s="291"/>
      <c r="N78" s="291"/>
      <c r="O78" s="291"/>
      <c r="P78" s="291"/>
      <c r="Q78" s="291"/>
      <c r="R78" s="291"/>
      <c r="S78" s="291"/>
      <c r="T78" s="291"/>
      <c r="AA78"/>
      <c r="AB78"/>
      <c r="AW78" s="1"/>
      <c r="BG78" s="1"/>
      <c r="BS78"/>
      <c r="BT78"/>
      <c r="CN78" s="1"/>
      <c r="CX78" s="1"/>
      <c r="DG78" s="138"/>
    </row>
    <row r="79" spans="1:114" hidden="1">
      <c r="A79" s="295" t="s">
        <v>176</v>
      </c>
      <c r="B79" s="295"/>
      <c r="C79" s="295"/>
      <c r="D79" s="295">
        <f>COUNTIF([0]!Oktober1,"Orlov")</f>
        <v>0</v>
      </c>
      <c r="E79" s="295"/>
      <c r="F79" s="295"/>
      <c r="G79" s="295"/>
      <c r="H79" s="288"/>
      <c r="I79" s="288"/>
      <c r="J79" s="292"/>
      <c r="K79" s="292"/>
      <c r="L79" s="291"/>
      <c r="M79" s="291"/>
      <c r="N79" s="291"/>
      <c r="O79" s="291"/>
      <c r="P79" s="291"/>
      <c r="Q79" s="291"/>
      <c r="R79" s="291"/>
      <c r="S79" s="291"/>
      <c r="T79" s="291"/>
      <c r="AA79"/>
      <c r="AB79"/>
      <c r="AW79" s="1"/>
      <c r="BG79" s="1"/>
      <c r="BS79"/>
      <c r="BT79"/>
      <c r="CN79" s="1"/>
      <c r="CX79" s="1"/>
      <c r="DG79" s="138"/>
    </row>
    <row r="80" spans="1:114" hidden="1">
      <c r="A80" s="295" t="s">
        <v>98</v>
      </c>
      <c r="B80" s="295"/>
      <c r="C80" s="295"/>
      <c r="D80" s="295">
        <f>COUNTIF([0]!Oktober1,"Ikke relevant")</f>
        <v>0</v>
      </c>
      <c r="E80" s="295"/>
      <c r="F80" s="295"/>
      <c r="G80" s="295"/>
      <c r="H80" s="288"/>
      <c r="I80" s="288"/>
      <c r="J80" s="291"/>
      <c r="K80" s="291"/>
      <c r="L80" s="291"/>
      <c r="M80" s="291"/>
      <c r="N80" s="291"/>
      <c r="O80" s="291"/>
      <c r="P80" s="291"/>
      <c r="Q80" s="291"/>
      <c r="R80" s="291"/>
      <c r="S80" s="291"/>
      <c r="T80" s="291"/>
      <c r="AA80"/>
      <c r="AB80"/>
      <c r="AW80" s="1"/>
      <c r="BG80" s="1"/>
      <c r="BS80"/>
      <c r="BT80"/>
      <c r="CN80" s="1"/>
      <c r="CX80" s="1"/>
      <c r="DG80" s="138"/>
    </row>
    <row r="81" spans="1:114" hidden="1">
      <c r="A81" s="295" t="s">
        <v>77</v>
      </c>
      <c r="B81" s="295"/>
      <c r="C81" s="295"/>
      <c r="D81" s="295">
        <f>COUNTIF([0]!Oktober1,"Weekend")</f>
        <v>8</v>
      </c>
      <c r="E81" s="295"/>
      <c r="F81" s="295"/>
      <c r="G81" s="295"/>
      <c r="H81" s="288"/>
      <c r="I81" s="288"/>
      <c r="J81" s="291"/>
      <c r="K81" s="291"/>
      <c r="L81" s="291"/>
      <c r="M81" s="291"/>
      <c r="N81" s="291"/>
      <c r="O81" s="291"/>
      <c r="P81" s="291"/>
      <c r="Q81" s="291"/>
      <c r="R81" s="291"/>
      <c r="S81" s="291"/>
      <c r="T81" s="291"/>
      <c r="AA81"/>
      <c r="AB81"/>
      <c r="AW81" s="1"/>
      <c r="BG81" s="1">
        <f>SUM(Z87:BF87)</f>
        <v>0</v>
      </c>
      <c r="BS81"/>
      <c r="BT81"/>
      <c r="CN81" s="1"/>
      <c r="CX81" s="1"/>
      <c r="DG81" s="138"/>
    </row>
    <row r="82" spans="1:114" hidden="1">
      <c r="A82" s="293" t="s">
        <v>76</v>
      </c>
      <c r="B82" s="295"/>
      <c r="C82" s="295"/>
      <c r="D82" s="295">
        <f>COUNTIF([0]!Oktober1,"SH-dag")</f>
        <v>0</v>
      </c>
      <c r="E82" s="295"/>
      <c r="F82" s="295"/>
      <c r="G82" s="295"/>
      <c r="H82" s="288"/>
      <c r="I82" s="288"/>
      <c r="J82" s="291"/>
      <c r="K82" s="291"/>
      <c r="L82" s="291"/>
      <c r="M82" s="291"/>
      <c r="N82" s="291"/>
      <c r="O82" s="291"/>
      <c r="P82" s="291"/>
      <c r="Q82" s="291"/>
      <c r="R82" s="291"/>
      <c r="S82" s="291"/>
      <c r="T82" s="291"/>
      <c r="AA82"/>
      <c r="AB82"/>
      <c r="AW82" s="1">
        <f>SUM(P82:AV82)</f>
        <v>0</v>
      </c>
      <c r="BG82" s="1">
        <f>SUM(Z88:BF88)</f>
        <v>0</v>
      </c>
      <c r="BS82"/>
      <c r="BT82"/>
      <c r="CN82" s="1">
        <f>SUM(AV82:CM82)</f>
        <v>0</v>
      </c>
      <c r="CX82" s="1">
        <f>SUM(BQ87:CW87)</f>
        <v>0</v>
      </c>
      <c r="DG82" s="138"/>
    </row>
    <row r="83" spans="1:114" hidden="1">
      <c r="A83" s="295" t="s">
        <v>73</v>
      </c>
      <c r="B83" s="295"/>
      <c r="C83" s="295"/>
      <c r="D83" s="295">
        <f>SUM(D60:D82)</f>
        <v>31</v>
      </c>
      <c r="E83" s="295"/>
      <c r="F83" s="295"/>
      <c r="G83" s="295"/>
      <c r="H83" s="288"/>
      <c r="I83" s="288"/>
      <c r="J83" s="291"/>
      <c r="K83" s="291"/>
      <c r="L83" s="291"/>
      <c r="M83" s="291"/>
      <c r="N83" s="291"/>
      <c r="O83" s="291"/>
      <c r="P83" s="291"/>
      <c r="Q83" s="291"/>
      <c r="R83" s="291"/>
      <c r="S83" s="291"/>
      <c r="T83" s="291"/>
      <c r="AA83"/>
      <c r="AB83"/>
      <c r="AW83" s="1">
        <f>SUM(P83:AV83)</f>
        <v>0</v>
      </c>
      <c r="BG83" s="1">
        <f>SUM(Z89:BF89)</f>
        <v>0</v>
      </c>
      <c r="BS83"/>
      <c r="BT83"/>
      <c r="CN83" s="1">
        <f>SUM(AV83:CM83)</f>
        <v>0</v>
      </c>
      <c r="CX83" s="1">
        <f>SUM(BQ88:CW88)</f>
        <v>0</v>
      </c>
      <c r="DG83" s="138"/>
    </row>
    <row r="84" spans="1:114" hidden="1">
      <c r="A84" s="295" t="s">
        <v>122</v>
      </c>
      <c r="B84" s="295"/>
      <c r="C84" s="295"/>
      <c r="D84" s="295">
        <f>D83-D77-A93-D81-D82</f>
        <v>23</v>
      </c>
      <c r="E84" s="295"/>
      <c r="F84" s="295"/>
      <c r="G84" s="295"/>
      <c r="H84" s="288"/>
      <c r="I84" s="288"/>
      <c r="J84" s="291"/>
      <c r="K84" s="291"/>
      <c r="L84" s="291"/>
      <c r="M84" s="291"/>
      <c r="N84" s="291"/>
      <c r="O84" s="291"/>
      <c r="P84" s="291"/>
      <c r="Q84" s="291"/>
      <c r="R84" s="291"/>
      <c r="S84" s="291"/>
      <c r="T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291"/>
      <c r="M85" s="291"/>
      <c r="N85" s="291"/>
      <c r="O85" s="291"/>
      <c r="P85" s="291"/>
      <c r="Q85" s="291"/>
      <c r="R85" s="291"/>
      <c r="S85" s="291"/>
      <c r="T85" s="291"/>
      <c r="AA85"/>
      <c r="AB85"/>
      <c r="AW85" s="1">
        <f>SUM(P85:AV85)</f>
        <v>0</v>
      </c>
      <c r="BS85"/>
      <c r="BT85"/>
      <c r="CN85" s="1">
        <f>SUM(AV85:CM85)</f>
        <v>0</v>
      </c>
      <c r="CX85" s="1">
        <f>SUM(BQ90:CW90)</f>
        <v>0</v>
      </c>
      <c r="DG85" s="138"/>
    </row>
    <row r="86" spans="1:114" hidden="1">
      <c r="A86" s="295"/>
      <c r="B86" s="295"/>
      <c r="C86" s="295"/>
      <c r="D86" s="295"/>
      <c r="E86" s="295"/>
      <c r="F86" s="295"/>
      <c r="G86" s="295"/>
      <c r="H86" s="288"/>
      <c r="I86" s="288"/>
      <c r="J86" s="291"/>
      <c r="K86" s="291"/>
      <c r="L86" s="33"/>
      <c r="AA86"/>
      <c r="AB86"/>
      <c r="BS86"/>
      <c r="BT86"/>
      <c r="DG86" s="138"/>
    </row>
    <row r="87" spans="1:114" hidden="1">
      <c r="A87" s="295" t="s">
        <v>138</v>
      </c>
      <c r="B87" s="295"/>
      <c r="C87" s="295"/>
      <c r="D87" s="295"/>
      <c r="E87" s="295"/>
      <c r="F87" s="295"/>
      <c r="G87" s="295"/>
      <c r="H87" s="291"/>
      <c r="I87" s="288"/>
      <c r="J87" s="291"/>
      <c r="K87" s="291"/>
      <c r="L87" s="33"/>
      <c r="AA87"/>
      <c r="AB87"/>
      <c r="BS87"/>
      <c r="BT87"/>
      <c r="DG87" s="138"/>
    </row>
    <row r="88" spans="1:114" hidden="1">
      <c r="A88" s="295">
        <f>COUNTIF(C18:C19,"Normal uge 1")+COUNTIF(C18:C19,"Normal uge 2")+COUNTIF(C18:C19,"Normal uge 3")+COUNTIF(C18:C19,"Normal uge 4")+COUNTIF(C18:C19,"Anderledes dag")+COUNTIF(C18:C19,"Feriepasningsdag")+COUNTIF(C18:C19,"Koloni")+COUNTIF(C18:C19,"Ekskursion")+COUNTIF(C18:C19,"Pæd.dag")</f>
        <v>0</v>
      </c>
      <c r="B88" s="295"/>
      <c r="C88" s="295"/>
      <c r="D88" s="295"/>
      <c r="E88" s="295"/>
      <c r="F88" s="295"/>
      <c r="G88" s="295"/>
      <c r="H88" s="291"/>
      <c r="I88" s="291"/>
      <c r="J88" s="291"/>
      <c r="K88" s="291"/>
      <c r="L88" s="33"/>
      <c r="AA88"/>
      <c r="AB88"/>
      <c r="BS88"/>
      <c r="BT88"/>
      <c r="DG88" s="138"/>
    </row>
    <row r="89" spans="1:114" hidden="1">
      <c r="A89" s="295">
        <f>COUNTIF(C25:C26,"Normal uge 1")+COUNTIF(C25:C26,"Normal uge 2")+COUNTIF(C25:C26,"Normal uge 3")+COUNTIF(C25:C26,"Normal uge 4")+COUNTIF(C25:C26,"Anderledes dag")+COUNTIF(C25:C26,"Feriepasningsdag")+COUNTIF(C25:C26,"Pæd.dag")+COUNTIF(C25:C26,"Ekskursion")+COUNTIF(C25:C26,"Koloni")</f>
        <v>0</v>
      </c>
      <c r="B89" s="295"/>
      <c r="C89" s="295"/>
      <c r="D89" s="295"/>
      <c r="E89" s="295"/>
      <c r="F89" s="295"/>
      <c r="G89" s="295"/>
      <c r="H89" s="291"/>
      <c r="I89" s="33"/>
      <c r="J89" s="291"/>
      <c r="K89" s="291"/>
      <c r="L89" s="33"/>
      <c r="AA89"/>
      <c r="AB89"/>
      <c r="BS89"/>
      <c r="BT89"/>
      <c r="DG89" s="138"/>
    </row>
    <row r="90" spans="1:114" hidden="1">
      <c r="A90" s="295">
        <f>COUNTIF(C32:C33,"Normal uge 1")+COUNTIF(C25:C26,"Normal uge 2")+COUNTIF(C25:C26,"Normal uge 3")+COUNTIF(C25:C26,"Normal uge 4")+COUNTIF(C25:C26,"Anderledes dag")+COUNTIF(C25:C26,"Feriepasningsdag")+COUNTIF(C25:C26,"Koloni")+COUNTIF(C25:C26,"Ekskursion")+COUNTIF(C25:C26,"Pæd.dag")</f>
        <v>0</v>
      </c>
      <c r="B90" s="295"/>
      <c r="C90" s="295"/>
      <c r="D90" s="295"/>
      <c r="E90" s="288"/>
      <c r="F90" s="288"/>
      <c r="G90" s="288"/>
      <c r="H90" s="291"/>
      <c r="I90" s="33"/>
      <c r="J90" s="33"/>
      <c r="K90" s="33"/>
      <c r="L90" s="33"/>
      <c r="AA90"/>
      <c r="AB90"/>
      <c r="BS90"/>
      <c r="BT90"/>
      <c r="DG90" s="138"/>
    </row>
    <row r="91" spans="1:114" hidden="1">
      <c r="A91" s="295">
        <f>COUNTIF(C39:C40,"Normal uge 1")+COUNTIF(C39:C40,"Normal uge 2")+COUNTIF(C39:C40,"Normal uge 3")+COUNTIF(C39:C40,"Normal uge 4")+COUNTIF(C39:C40,"Anderledes dag")+COUNTIF(C39:C40,"Feriepasningsdag")+COUNTIF(C39:C40,"Koloni")+COUNTIF(C39:C40,"Ekskursion")+COUNTIF(C39:C40,"Pæd.dag")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c r="B92" s="295"/>
      <c r="C92" s="295"/>
      <c r="D92" s="295"/>
      <c r="E92" s="288"/>
      <c r="F92" s="288"/>
      <c r="G92" s="288"/>
      <c r="H92" s="291"/>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5">
        <f>SUM(A88:A92)</f>
        <v>0</v>
      </c>
      <c r="B93" s="295"/>
      <c r="C93" s="295"/>
      <c r="D93" s="295"/>
      <c r="E93" s="68"/>
      <c r="F93" s="68"/>
      <c r="G93" s="68"/>
      <c r="H93" s="33"/>
      <c r="I93" s="33"/>
      <c r="J93" s="33"/>
      <c r="K93" s="33"/>
      <c r="L93" s="33"/>
    </row>
    <row r="94" spans="1:114" hidden="1">
      <c r="A94" s="300"/>
      <c r="B94" s="300"/>
      <c r="C94" s="300"/>
      <c r="D94" s="300"/>
      <c r="E94" s="68"/>
      <c r="F94" s="68"/>
      <c r="G94" s="68"/>
      <c r="H94" s="33"/>
      <c r="I94" s="33"/>
      <c r="J94" s="33"/>
      <c r="K94" s="33"/>
      <c r="L94" s="33"/>
    </row>
    <row r="95" spans="1:114" hidden="1">
      <c r="A95" s="33"/>
      <c r="B95" s="33"/>
      <c r="C95" s="33"/>
      <c r="D95" s="33"/>
      <c r="E95" s="260"/>
      <c r="F95" s="260"/>
      <c r="G95" s="260"/>
      <c r="H95" s="260"/>
      <c r="I95" s="260"/>
      <c r="J95" s="260"/>
      <c r="K95" s="260"/>
      <c r="L95" s="260"/>
    </row>
    <row r="96" spans="1:114" hidden="1">
      <c r="A96" s="33"/>
      <c r="B96" s="33"/>
      <c r="C96" s="33"/>
      <c r="D96" s="33"/>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hidden="1">
      <c r="A116" s="260"/>
      <c r="B116" s="260"/>
      <c r="C116" s="260"/>
      <c r="D116" s="260"/>
      <c r="E116" s="260"/>
      <c r="F116" s="260"/>
      <c r="G116" s="260"/>
      <c r="H116" s="260"/>
      <c r="I116" s="260"/>
      <c r="J116" s="260"/>
      <c r="K116" s="260"/>
      <c r="L116" s="260"/>
    </row>
    <row r="117" spans="1:12" hidden="1">
      <c r="A117" s="260"/>
      <c r="B117" s="260"/>
      <c r="C117" s="260"/>
      <c r="D117" s="260"/>
      <c r="E117" s="260"/>
      <c r="F117" s="260"/>
      <c r="G117" s="260"/>
      <c r="H117" s="260"/>
      <c r="I117" s="260"/>
      <c r="J117" s="260"/>
      <c r="K117" s="260"/>
      <c r="L117" s="260"/>
    </row>
    <row r="118" spans="1:12" hidden="1">
      <c r="A118" s="260"/>
      <c r="B118" s="260"/>
      <c r="C118" s="260"/>
      <c r="D118" s="260"/>
      <c r="E118" s="260"/>
      <c r="F118" s="260"/>
      <c r="G118" s="260"/>
      <c r="H118" s="260"/>
      <c r="I118" s="260"/>
      <c r="J118" s="260"/>
      <c r="K118" s="260"/>
      <c r="L118" s="260"/>
    </row>
    <row r="119" spans="1:12" hidden="1">
      <c r="A119" s="260"/>
      <c r="B119" s="260"/>
      <c r="C119" s="260"/>
      <c r="D119" s="260"/>
      <c r="E119" s="260"/>
      <c r="F119" s="260"/>
      <c r="G119" s="260"/>
      <c r="H119" s="260"/>
      <c r="I119" s="260"/>
      <c r="J119" s="260"/>
      <c r="K119" s="260"/>
      <c r="L119" s="260"/>
    </row>
    <row r="120" spans="1:12" hidden="1">
      <c r="A120" s="260"/>
      <c r="B120" s="260"/>
      <c r="C120" s="260"/>
      <c r="D120" s="260"/>
      <c r="E120" s="260"/>
      <c r="F120" s="260"/>
      <c r="G120" s="260"/>
      <c r="H120" s="260"/>
      <c r="I120" s="260"/>
      <c r="J120" s="260"/>
      <c r="K120" s="260"/>
    </row>
    <row r="121" spans="1:12" hidden="1">
      <c r="A121" s="260"/>
      <c r="B121" s="260"/>
      <c r="C121" s="260"/>
      <c r="D121" s="260"/>
      <c r="E121" s="260"/>
      <c r="F121" s="260"/>
      <c r="G121" s="260"/>
      <c r="H121" s="260"/>
      <c r="I121" s="260"/>
      <c r="J121" s="260"/>
      <c r="K121" s="260"/>
    </row>
    <row r="122" spans="1:12">
      <c r="A122" s="260"/>
      <c r="B122" s="260"/>
      <c r="C122" s="260"/>
      <c r="D122" s="260"/>
      <c r="I122" s="260"/>
      <c r="J122" s="260"/>
      <c r="K122" s="260"/>
    </row>
    <row r="123" spans="1:12">
      <c r="A123" s="260"/>
      <c r="B123" s="260"/>
      <c r="C123" s="260"/>
      <c r="D123" s="260"/>
      <c r="J123" s="260"/>
      <c r="K123" s="260"/>
    </row>
    <row r="124" spans="1:12">
      <c r="A124" s="260"/>
      <c r="B124" s="260"/>
      <c r="C124" s="260"/>
      <c r="D124" s="260"/>
    </row>
    <row r="125" spans="1:12">
      <c r="A125" s="260"/>
      <c r="B125" s="260"/>
      <c r="C125" s="260"/>
      <c r="D125" s="260"/>
    </row>
    <row r="126" spans="1:12">
      <c r="A126" s="260"/>
      <c r="B126" s="260"/>
      <c r="C126" s="260"/>
      <c r="D126" s="260"/>
    </row>
    <row r="127" spans="1:12">
      <c r="A127" s="260"/>
      <c r="B127" s="260"/>
      <c r="C127" s="260"/>
      <c r="D127" s="260"/>
    </row>
  </sheetData>
  <sheetProtection sheet="1" objects="1" scenarios="1"/>
  <mergeCells count="116">
    <mergeCell ref="A63:C63"/>
    <mergeCell ref="L51:U51"/>
    <mergeCell ref="T52:U52"/>
    <mergeCell ref="I55:J55"/>
    <mergeCell ref="N53:S53"/>
    <mergeCell ref="N54:S54"/>
    <mergeCell ref="I57:J57"/>
    <mergeCell ref="L57:S57"/>
    <mergeCell ref="A61:C61"/>
    <mergeCell ref="A62:C62"/>
    <mergeCell ref="A53:G53"/>
    <mergeCell ref="I53:J53"/>
    <mergeCell ref="N52:S52"/>
    <mergeCell ref="A54:H54"/>
    <mergeCell ref="I54:J54"/>
    <mergeCell ref="A56:H56"/>
    <mergeCell ref="I56:J56"/>
    <mergeCell ref="N55:S55"/>
    <mergeCell ref="N56:S56"/>
    <mergeCell ref="A50:G50"/>
    <mergeCell ref="I50:J50"/>
    <mergeCell ref="A51:G51"/>
    <mergeCell ref="I51:J51"/>
    <mergeCell ref="E45:G45"/>
    <mergeCell ref="A48:G48"/>
    <mergeCell ref="I48:J48"/>
    <mergeCell ref="A52:G52"/>
    <mergeCell ref="I52:J52"/>
    <mergeCell ref="L48:S49"/>
    <mergeCell ref="A49:G49"/>
    <mergeCell ref="I49:J49"/>
    <mergeCell ref="E39:G39"/>
    <mergeCell ref="E40:G40"/>
    <mergeCell ref="E41:G41"/>
    <mergeCell ref="E42:G42"/>
    <mergeCell ref="E43:G43"/>
    <mergeCell ref="E44:G44"/>
    <mergeCell ref="E38:G38"/>
    <mergeCell ref="E27:G27"/>
    <mergeCell ref="E28:G28"/>
    <mergeCell ref="E29:G29"/>
    <mergeCell ref="E30:G30"/>
    <mergeCell ref="E31:G31"/>
    <mergeCell ref="E32:G32"/>
    <mergeCell ref="E33:G33"/>
    <mergeCell ref="E34:G34"/>
    <mergeCell ref="E35:G35"/>
    <mergeCell ref="E36:G36"/>
    <mergeCell ref="E37:G37"/>
    <mergeCell ref="E18:G18"/>
    <mergeCell ref="E19:G19"/>
    <mergeCell ref="E20:G20"/>
    <mergeCell ref="E21:G21"/>
    <mergeCell ref="E22:G22"/>
    <mergeCell ref="E23:G23"/>
    <mergeCell ref="E24:G24"/>
    <mergeCell ref="E25:G25"/>
    <mergeCell ref="M12:M13"/>
    <mergeCell ref="N14:O14"/>
    <mergeCell ref="X12:AI12"/>
    <mergeCell ref="AJ12:AN12"/>
    <mergeCell ref="AO12:AS12"/>
    <mergeCell ref="AT12:AX12"/>
    <mergeCell ref="AY12:BC12"/>
    <mergeCell ref="BP12:BZ12"/>
    <mergeCell ref="BD12:BH12"/>
    <mergeCell ref="BI12:BM12"/>
    <mergeCell ref="P12:U12"/>
    <mergeCell ref="CU12:CY12"/>
    <mergeCell ref="CZ12:DD12"/>
    <mergeCell ref="A2:D3"/>
    <mergeCell ref="A9:U9"/>
    <mergeCell ref="A10:D10"/>
    <mergeCell ref="E10:G10"/>
    <mergeCell ref="I10:J10"/>
    <mergeCell ref="K10:L10"/>
    <mergeCell ref="N10:O10"/>
    <mergeCell ref="E2:Q3"/>
    <mergeCell ref="A11:M11"/>
    <mergeCell ref="P11:U11"/>
    <mergeCell ref="E12:G14"/>
    <mergeCell ref="I12:J12"/>
    <mergeCell ref="K12:K13"/>
    <mergeCell ref="L12:L13"/>
    <mergeCell ref="N11:O11"/>
    <mergeCell ref="CA12:CT12"/>
    <mergeCell ref="A13:D14"/>
    <mergeCell ref="H13:H14"/>
    <mergeCell ref="I14:M14"/>
    <mergeCell ref="P14:R14"/>
    <mergeCell ref="S14:U14"/>
    <mergeCell ref="N12:O12"/>
    <mergeCell ref="I5:J5"/>
    <mergeCell ref="H61:I61"/>
    <mergeCell ref="H62:I62"/>
    <mergeCell ref="A4:H4"/>
    <mergeCell ref="A7:B7"/>
    <mergeCell ref="C7:D7"/>
    <mergeCell ref="E7:F7"/>
    <mergeCell ref="G7:H7"/>
    <mergeCell ref="A8:B8"/>
    <mergeCell ref="C8:D8"/>
    <mergeCell ref="E8:F8"/>
    <mergeCell ref="G8:H8"/>
    <mergeCell ref="A5:B5"/>
    <mergeCell ref="C5:D5"/>
    <mergeCell ref="E5:F5"/>
    <mergeCell ref="G5:H5"/>
    <mergeCell ref="A6:B6"/>
    <mergeCell ref="C6:D6"/>
    <mergeCell ref="E6:F6"/>
    <mergeCell ref="G6:H6"/>
    <mergeCell ref="E26:G26"/>
    <mergeCell ref="E15:G15"/>
    <mergeCell ref="E16:G16"/>
    <mergeCell ref="E17:G17"/>
  </mergeCells>
  <conditionalFormatting sqref="A15:H15 D16:H37 A16:C45 D38:E38 H38 D39:H45">
    <cfRule type="expression" dxfId="1357" priority="1" stopIfTrue="1">
      <formula>OR($C15="Normal uge 6")</formula>
    </cfRule>
    <cfRule type="expression" dxfId="1356" priority="2">
      <formula>OR($C15="Normal uge 5")</formula>
    </cfRule>
    <cfRule type="expression" dxfId="1355" priority="15" stopIfTrue="1">
      <formula>OR($C15="Rul 6")</formula>
    </cfRule>
    <cfRule type="expression" dxfId="1354" priority="16" stopIfTrue="1">
      <formula>OR($C15="Rul 5")</formula>
    </cfRule>
    <cfRule type="expression" dxfId="1353" priority="17" stopIfTrue="1">
      <formula>OR($C15="Rul 4")</formula>
    </cfRule>
    <cfRule type="expression" dxfId="1352" priority="18" stopIfTrue="1">
      <formula>OR($C15="Rul 3")</formula>
    </cfRule>
    <cfRule type="expression" dxfId="1351" priority="19" stopIfTrue="1">
      <formula>OR($C15="Rul 1")</formula>
    </cfRule>
    <cfRule type="expression" dxfId="1350" priority="20">
      <formula>OR($C15="Normal uge 1")</formula>
    </cfRule>
    <cfRule type="expression" dxfId="1349" priority="26">
      <formula>OR($C15="Orlov")</formula>
    </cfRule>
    <cfRule type="expression" dxfId="1348" priority="27">
      <formula>OR($C15="Normal uge 2")</formula>
    </cfRule>
    <cfRule type="expression" dxfId="1347" priority="28">
      <formula>OR($C15="Normal uge 3")</formula>
    </cfRule>
    <cfRule type="expression" dxfId="1346" priority="29">
      <formula>OR($C15="Normal uge 4")</formula>
    </cfRule>
    <cfRule type="expression" dxfId="1345" priority="30">
      <formula>OR($C15="Ikke relevant")</formula>
    </cfRule>
    <cfRule type="expression" dxfId="1344" priority="31">
      <formula>OR($C15="pæd.dag")</formula>
    </cfRule>
    <cfRule type="expression" dxfId="1343" priority="32">
      <formula>OR($C15="nul-dag")</formula>
    </cfRule>
    <cfRule type="expression" dxfId="1342" priority="33">
      <formula>OR($C15="SH-dag")</formula>
    </cfRule>
    <cfRule type="expression" dxfId="1341" priority="40" stopIfTrue="1">
      <formula>OR($C15="Rul 2")</formula>
    </cfRule>
    <cfRule type="expression" dxfId="1340" priority="39">
      <formula>OR($C15="weekend")</formula>
    </cfRule>
    <cfRule type="expression" dxfId="1339" priority="38">
      <formula>OR($C15="feriedag")</formula>
    </cfRule>
    <cfRule type="expression" dxfId="1338" priority="37">
      <formula>OR($C15="Ferieåbning")</formula>
    </cfRule>
    <cfRule type="expression" dxfId="1337" priority="36">
      <formula>OR($C15="Anderledes dag")</formula>
    </cfRule>
    <cfRule type="expression" dxfId="1336" priority="35">
      <formula>OR($C15="Koloni")</formula>
    </cfRule>
    <cfRule type="expression" dxfId="1335" priority="34">
      <formula>OR($C15="ekskursion")</formula>
    </cfRule>
  </conditionalFormatting>
  <conditionalFormatting sqref="E26">
    <cfRule type="expression" dxfId="1334" priority="48">
      <formula>OR($D25="feriedag")</formula>
    </cfRule>
    <cfRule type="expression" dxfId="1333" priority="49">
      <formula>OR($D25="weekend")</formula>
    </cfRule>
    <cfRule type="expression" dxfId="1332" priority="51">
      <formula>OR($D25="Ikke relevant")</formula>
    </cfRule>
    <cfRule type="expression" dxfId="1331" priority="50" stopIfTrue="1">
      <formula>OR($D25="skoledag")</formula>
    </cfRule>
    <cfRule type="expression" dxfId="1330" priority="41">
      <formula>OR($D25="pæd.dag")</formula>
    </cfRule>
    <cfRule type="expression" dxfId="1329" priority="42">
      <formula>OR($D25="nul-dag")</formula>
    </cfRule>
    <cfRule type="expression" dxfId="1328" priority="43">
      <formula>OR($D25="SH-dag")</formula>
    </cfRule>
    <cfRule type="expression" dxfId="1327" priority="44">
      <formula>OR($D25="ekskursion")</formula>
    </cfRule>
    <cfRule type="expression" dxfId="1326" priority="45">
      <formula>OR($D25="lejrskole")</formula>
    </cfRule>
    <cfRule type="expression" dxfId="1325" priority="46">
      <formula>OR($D25="emnedag")</formula>
    </cfRule>
    <cfRule type="expression" dxfId="1324" priority="47">
      <formula>OR($D25="fagdag")</formula>
    </cfRule>
  </conditionalFormatting>
  <conditionalFormatting sqref="I15:J45">
    <cfRule type="expression" dxfId="1323" priority="24">
      <formula>OR($C15="Koloni",)</formula>
    </cfRule>
    <cfRule type="expression" dxfId="1322" priority="14" stopIfTrue="1">
      <formula>OR($C15="Ferieåbning",)</formula>
    </cfRule>
    <cfRule type="expression" dxfId="1321" priority="13">
      <formula>OR($C15="Anderledes dag",)</formula>
    </cfRule>
    <cfRule type="expression" dxfId="1320" priority="12">
      <formula>OR($C15="Ekskursion",)</formula>
    </cfRule>
  </conditionalFormatting>
  <conditionalFormatting sqref="J15:J45">
    <cfRule type="expression" dxfId="1319" priority="25">
      <formula>OR($C15="Pæd.dag",)</formula>
    </cfRule>
  </conditionalFormatting>
  <conditionalFormatting sqref="M15:M45">
    <cfRule type="expression" dxfId="1318" priority="52">
      <formula>OR($H15&gt;"0",)</formula>
    </cfRule>
  </conditionalFormatting>
  <conditionalFormatting sqref="O15:O45">
    <cfRule type="expression" dxfId="1316" priority="7">
      <formula>OR($N15&gt;0,)</formula>
    </cfRule>
  </conditionalFormatting>
  <conditionalFormatting sqref="S15:S45">
    <cfRule type="expression" dxfId="1315" priority="23">
      <formula>OR($P15="X",)</formula>
    </cfRule>
  </conditionalFormatting>
  <conditionalFormatting sqref="T15:T45">
    <cfRule type="expression" dxfId="1314" priority="22">
      <formula>OR($Q15="X",)</formula>
    </cfRule>
  </conditionalFormatting>
  <conditionalFormatting sqref="T53:T56">
    <cfRule type="expression" dxfId="1313" priority="4">
      <formula>OR($L53&gt;0,)</formula>
    </cfRule>
  </conditionalFormatting>
  <conditionalFormatting sqref="U15:U45">
    <cfRule type="expression" dxfId="1312" priority="21">
      <formula>OR($R15="X",)</formula>
    </cfRule>
  </conditionalFormatting>
  <conditionalFormatting sqref="U53:U54 U56">
    <cfRule type="expression" dxfId="1311" priority="9">
      <formula>OR($M53&gt;0,)</formula>
    </cfRule>
  </conditionalFormatting>
  <conditionalFormatting sqref="U55:W55">
    <cfRule type="expression" dxfId="1310" priority="5">
      <formula>OR($M55&gt;0,)</formula>
    </cfRule>
  </conditionalFormatting>
  <conditionalFormatting sqref="BN54 BN56:BN57 BR58">
    <cfRule type="expression" dxfId="1309" priority="53">
      <formula>OR(#REF!&gt;0,)</formula>
    </cfRule>
  </conditionalFormatting>
  <conditionalFormatting sqref="BP55">
    <cfRule type="expression" dxfId="1308" priority="6">
      <formula>OR(#REF!&gt;0,)</formula>
    </cfRule>
  </conditionalFormatting>
  <dataValidations count="3">
    <dataValidation type="list" allowBlank="1" showInputMessage="1" sqref="C15:C45" xr:uid="{7381B72F-8532-5B4F-9D46-2844B3BFDEDF}">
      <formula1>$A$60:$A$82</formula1>
    </dataValidation>
    <dataValidation type="list" allowBlank="1" showInputMessage="1" showErrorMessage="1" sqref="R15:R43 P15:Q45 L53:M54 L56:M56" xr:uid="{F8F745ED-1AC6-EB45-AE51-FD5CCF143FC5}">
      <formula1>$Y$1:$Y$2</formula1>
    </dataValidation>
    <dataValidation type="list" allowBlank="1" showInputMessage="1" showErrorMessage="1" sqref="L55:M55" xr:uid="{E39E7740-9CC2-BB43-A9A0-9131B2F84EC2}">
      <formula1>$AA$1:$AA$2</formula1>
    </dataValidation>
  </dataValidations>
  <hyperlinks>
    <hyperlink ref="A5:B5" location="'Normal uger'!A11" display="Normale uger" xr:uid="{F1B4E22A-CB1C-4D4F-A393-0ED42A3D46A2}"/>
    <hyperlink ref="C5:D5" location="Rul!B20" display="Rul" xr:uid="{D3C5D92B-7188-8943-92A7-F61F176DA4A2}"/>
    <hyperlink ref="E5:F5" location="Arbejdstidsoversigt!A19" display="Arbejdstids-oversigt" xr:uid="{0EB83A0A-93D5-3640-BD8D-E00615AD6AC0}"/>
    <hyperlink ref="G5:H5" location="Opgørelse!B12" display="Opgørelse" xr:uid="{B821ABB3-26D2-CB43-981D-544B770E603C}"/>
    <hyperlink ref="A6:B6" location="August!A12" display="August" xr:uid="{40AB9E92-C460-B848-9451-2D56B54234C0}"/>
    <hyperlink ref="C6:D6" location="September!A8" display="September" xr:uid="{45CC1E25-8B17-854E-8134-508C51E5FAF9}"/>
    <hyperlink ref="E6:F6" location="Oktober!A8" display="Oktober" xr:uid="{60AD7AC1-FF7B-FC49-97BD-957AC8506BA7}"/>
    <hyperlink ref="G6:H6" location="November!A8" display="November" xr:uid="{30A357E1-581D-3247-B967-1B7D29A889B9}"/>
    <hyperlink ref="A7:B7" location="December!A8" display="December" xr:uid="{58D37C17-0335-B244-823F-2A6D2D345508}"/>
    <hyperlink ref="C7:D7" location="Januar!A8" display="Januar" xr:uid="{19329C51-956E-4145-BC21-92A3A19C0934}"/>
    <hyperlink ref="E7:F7" location="Februar!A8" display="Februar" xr:uid="{D8DB0162-9DE2-4B40-9878-72A3DA786572}"/>
    <hyperlink ref="A8:B8" location="April!A8" display="April" xr:uid="{A35DB8D4-10A0-0847-BE33-E59FDCF51993}"/>
    <hyperlink ref="C8:D8" location="Maj!A8" display="Maj" xr:uid="{E5AF3937-291E-1F4F-9DB0-2347D5CC76C4}"/>
    <hyperlink ref="E8:F8" location="Juni!A8" display="Juni" xr:uid="{B6BAED79-FA0D-994D-A715-0FE3175DD587}"/>
    <hyperlink ref="G8:H8" location="Juli!A8" display="Juli" xr:uid="{882A137E-9EAD-B844-A09E-A2D7D3802102}"/>
    <hyperlink ref="G7:H7" location="Marts!A8" display="Marts" xr:uid="{C5820E75-D1C9-044A-B34A-8B8994B7611F}"/>
    <hyperlink ref="I5:J5" location="Stamoplysninger!E18" display="Stamoplysninger" xr:uid="{A362DB1B-7746-EA49-9B30-7404BB4C4F48}"/>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45CC002F-3160-D343-8BB9-CE954792D65B}">
            <xm:f>OR(Arbejdstidsoversigt!$H$54="Puljetimer registreres ikke men afvikles jævnt hen over normperioden",)</xm:f>
            <x14:dxf>
              <fill>
                <patternFill>
                  <bgColor theme="1"/>
                </patternFill>
              </fill>
            </x14:dxf>
          </x14:cfRule>
          <xm:sqref>N15:N45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371B-75A0-8542-BA8E-60A3B99D4850}">
  <sheetPr>
    <tabColor theme="4" tint="-0.249977111117893"/>
    <pageSetUpPr fitToPage="1"/>
  </sheetPr>
  <dimension ref="A1:DL126"/>
  <sheetViews>
    <sheetView topLeftCell="A13" zoomScaleNormal="100" workbookViewId="0">
      <selection activeCell="M33" sqref="M33"/>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customWidth="1"/>
    <col min="121" max="121" width="31.1640625"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0" customHeight="1">
      <c r="A2" s="886">
        <v>11</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November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August!A17</f>
        <v>2025</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121</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4" si="0">CHOOSE(MOD(WEEKDAY(DATE(A$12,A$2,A15)),7)+1,"lø","sø","ma","ti","on","to","fr",)</f>
        <v>lø</v>
      </c>
      <c r="C15" s="73" t="s">
        <v>77</v>
      </c>
      <c r="D15" s="74" t="str">
        <f t="shared" ref="D15:D44"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4" si="2">IF(Q15="x",T15-L15,0)</f>
        <v>0</v>
      </c>
      <c r="X15" s="358">
        <f>IF($C$15="Anderledes dag",$I$15,0)</f>
        <v>0</v>
      </c>
      <c r="Y15" s="358">
        <f>IF(C15="Ferieåbning",I15,0)</f>
        <v>0</v>
      </c>
      <c r="Z15" s="358">
        <f t="shared" ref="Z15:Z44"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4" si="4">SUM(AJ15:AN15)*24</f>
        <v>0</v>
      </c>
      <c r="BP15" s="358">
        <f t="shared" ref="BP15:BP44" si="5">IF(C15="Anderledes dag",J15,0)</f>
        <v>0</v>
      </c>
      <c r="BQ15" s="358">
        <f t="shared" ref="BQ15:BQ44" si="6">IF(C15="Ferieåbning",J15,0)</f>
        <v>0</v>
      </c>
      <c r="BR15" s="358">
        <f t="shared" ref="BR15:BR44" si="7">IF(C15="Pæd.dag",J15,0)</f>
        <v>0</v>
      </c>
      <c r="BS15" s="358">
        <f t="shared" ref="BS15:BS44" si="8">IF(C15="Ekskursion",J15,0)</f>
        <v>0</v>
      </c>
      <c r="BT15" s="358">
        <f t="shared" ref="BT15:BT44"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4" si="10">IF(AND(E15&gt;0,H15&gt;0),""&amp;E15&amp;" og "&amp;H15&amp;"","")</f>
        <v/>
      </c>
      <c r="DG15">
        <f t="shared" ref="DG15:DG44" si="11">IF(H15="",E15,"")</f>
        <v>0</v>
      </c>
      <c r="DH15">
        <f t="shared" ref="DH15:DH44" si="12">IF(E15="",H15,"")</f>
        <v>0</v>
      </c>
      <c r="DI15" t="str">
        <f t="shared" ref="DI15:DK45" si="13">IF(DF15=0,"",DF15)</f>
        <v/>
      </c>
      <c r="DJ15" t="str">
        <f>IF(DG15=0,"",DG15)</f>
        <v/>
      </c>
      <c r="DK15" t="str">
        <f>IF(DH15=0,"",DH15)</f>
        <v/>
      </c>
      <c r="DL15" t="str">
        <f>DI15&amp;""&amp;DJ15&amp;""&amp;DK15</f>
        <v/>
      </c>
    </row>
    <row r="16" spans="1:116">
      <c r="A16" s="135">
        <f t="shared" ref="A16:A44" si="14">IF(ISNUMBER(A15),A15+1,1)</f>
        <v>2</v>
      </c>
      <c r="B16" s="72" t="str">
        <f t="shared" si="0"/>
        <v>sø</v>
      </c>
      <c r="C16" s="73" t="s">
        <v>77</v>
      </c>
      <c r="D16" s="74" t="str">
        <f t="shared" si="1"/>
        <v/>
      </c>
      <c r="E16" s="858"/>
      <c r="F16" s="859"/>
      <c r="G16" s="860"/>
      <c r="H16" s="175"/>
      <c r="I16" s="221"/>
      <c r="J16" s="221"/>
      <c r="K16" s="191">
        <f t="shared" ref="K16:K44" si="15">BN16</f>
        <v>0</v>
      </c>
      <c r="L16" s="191">
        <f t="shared" ref="L16:L44" si="16">DE16</f>
        <v>0</v>
      </c>
      <c r="M16" s="238"/>
      <c r="N16" s="357"/>
      <c r="O16" s="408"/>
      <c r="P16" s="195"/>
      <c r="Q16" s="196"/>
      <c r="R16" s="196"/>
      <c r="S16" s="192"/>
      <c r="T16" s="255"/>
      <c r="U16" s="193"/>
      <c r="V16">
        <f t="shared" ref="V16:V44" si="17">IF(P16="x",S16-K16,0)</f>
        <v>0</v>
      </c>
      <c r="W16">
        <f t="shared" si="2"/>
        <v>0</v>
      </c>
      <c r="X16" s="358">
        <f t="shared" ref="X16:X44" si="18">IF(C16="Anderledes dag",I16,0)</f>
        <v>0</v>
      </c>
      <c r="Y16" s="358">
        <f t="shared" ref="Y16:Y44" si="19">IF(C16="Ferieåbning",I16,0)</f>
        <v>0</v>
      </c>
      <c r="Z16" s="358">
        <f t="shared" si="3"/>
        <v>0</v>
      </c>
      <c r="AA16" s="358">
        <f t="shared" ref="AA16:AA44" si="20">IF(C16="Ekskursion",I16,0)</f>
        <v>0</v>
      </c>
      <c r="AB16" s="358">
        <f t="shared" ref="AB16:AB44"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4" si="23">SUM(BP16:DD16)</f>
        <v>0</v>
      </c>
      <c r="DF16" t="str">
        <f t="shared" si="10"/>
        <v/>
      </c>
      <c r="DG16">
        <f t="shared" si="11"/>
        <v>0</v>
      </c>
      <c r="DH16">
        <f t="shared" si="12"/>
        <v>0</v>
      </c>
      <c r="DI16" t="str">
        <f t="shared" si="13"/>
        <v/>
      </c>
      <c r="DJ16" t="str">
        <f t="shared" si="13"/>
        <v/>
      </c>
      <c r="DK16" t="str">
        <f t="shared" si="13"/>
        <v/>
      </c>
      <c r="DL16" t="str">
        <f t="shared" ref="DL16:DL44" si="24">DI16&amp;""&amp;DJ16&amp;""&amp;DK16</f>
        <v/>
      </c>
    </row>
    <row r="17" spans="1:116">
      <c r="A17" s="135">
        <f t="shared" si="14"/>
        <v>3</v>
      </c>
      <c r="B17" s="72" t="str">
        <f t="shared" si="0"/>
        <v>ma</v>
      </c>
      <c r="C17" s="73" t="s">
        <v>217</v>
      </c>
      <c r="D17" s="74">
        <f t="shared" si="1"/>
        <v>44.714285714285715</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ti</v>
      </c>
      <c r="C18" s="73" t="s">
        <v>217</v>
      </c>
      <c r="D18" s="74" t="str">
        <f t="shared" si="1"/>
        <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on</v>
      </c>
      <c r="C19" s="73" t="s">
        <v>217</v>
      </c>
      <c r="D19" s="74" t="str">
        <f t="shared" si="1"/>
        <v/>
      </c>
      <c r="E19" s="858"/>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f t="shared" si="11"/>
        <v>0</v>
      </c>
      <c r="DH19">
        <f t="shared" si="12"/>
        <v>0</v>
      </c>
      <c r="DI19" t="str">
        <f t="shared" si="13"/>
        <v/>
      </c>
      <c r="DJ19" t="str">
        <f t="shared" si="13"/>
        <v/>
      </c>
      <c r="DK19" t="str">
        <f t="shared" si="13"/>
        <v/>
      </c>
      <c r="DL19" t="str">
        <f t="shared" si="24"/>
        <v/>
      </c>
    </row>
    <row r="20" spans="1:116" ht="16" customHeight="1">
      <c r="A20" s="135">
        <f t="shared" si="14"/>
        <v>6</v>
      </c>
      <c r="B20" s="72" t="str">
        <f t="shared" si="0"/>
        <v>to</v>
      </c>
      <c r="C20" s="73" t="s">
        <v>217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fr</v>
      </c>
      <c r="C21" s="73" t="s">
        <v>217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lø</v>
      </c>
      <c r="C22" s="73" t="s">
        <v>77</v>
      </c>
      <c r="D22" s="74" t="str">
        <f t="shared" si="1"/>
        <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sø</v>
      </c>
      <c r="C23" s="73" t="s">
        <v>77</v>
      </c>
      <c r="D23" s="74" t="str">
        <f t="shared" si="1"/>
        <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ma</v>
      </c>
      <c r="C24" s="73" t="s">
        <v>217</v>
      </c>
      <c r="D24" s="74">
        <f t="shared" si="1"/>
        <v>45.714285714285715</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ti</v>
      </c>
      <c r="C25" s="73" t="s">
        <v>217</v>
      </c>
      <c r="D25" s="74" t="str">
        <f t="shared" si="1"/>
        <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on</v>
      </c>
      <c r="C26" s="73" t="s">
        <v>217</v>
      </c>
      <c r="D26" s="74" t="str">
        <f t="shared" si="1"/>
        <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to</v>
      </c>
      <c r="C27" s="73" t="s">
        <v>217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fr</v>
      </c>
      <c r="C28" s="73" t="s">
        <v>217</v>
      </c>
      <c r="D28" s="74" t="str">
        <f t="shared" si="1"/>
        <v/>
      </c>
      <c r="E28" s="861"/>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15</v>
      </c>
      <c r="B29" s="72" t="str">
        <f t="shared" si="0"/>
        <v>lø</v>
      </c>
      <c r="C29" s="73" t="s">
        <v>77</v>
      </c>
      <c r="D29" s="74" t="str">
        <f t="shared" si="1"/>
        <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sø</v>
      </c>
      <c r="C30" s="73" t="s">
        <v>77</v>
      </c>
      <c r="D30" s="74" t="str">
        <f t="shared" si="1"/>
        <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ma</v>
      </c>
      <c r="C31" s="73" t="s">
        <v>217</v>
      </c>
      <c r="D31" s="74">
        <f t="shared" si="1"/>
        <v>46.714285714285715</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ti</v>
      </c>
      <c r="C32" s="73" t="s">
        <v>217</v>
      </c>
      <c r="D32" s="74" t="str">
        <f t="shared" si="1"/>
        <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on</v>
      </c>
      <c r="C33" s="73" t="s">
        <v>217</v>
      </c>
      <c r="D33" s="74" t="str">
        <f t="shared" si="1"/>
        <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to</v>
      </c>
      <c r="C34" s="73" t="s">
        <v>217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fr</v>
      </c>
      <c r="C35" s="73" t="s">
        <v>217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lø</v>
      </c>
      <c r="C36" s="73" t="s">
        <v>77</v>
      </c>
      <c r="D36" s="74" t="str">
        <f t="shared" si="1"/>
        <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sø</v>
      </c>
      <c r="C37" s="73" t="s">
        <v>77</v>
      </c>
      <c r="D37" s="74" t="str">
        <f t="shared" si="1"/>
        <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ma</v>
      </c>
      <c r="C38" s="73" t="s">
        <v>217</v>
      </c>
      <c r="D38" s="74">
        <f t="shared" si="1"/>
        <v>47.714285714285715</v>
      </c>
      <c r="E38" s="861"/>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25</v>
      </c>
      <c r="B39" s="72" t="str">
        <f t="shared" si="0"/>
        <v>ti</v>
      </c>
      <c r="C39" s="73" t="s">
        <v>217</v>
      </c>
      <c r="D39" s="74" t="str">
        <f t="shared" si="1"/>
        <v/>
      </c>
      <c r="E39" s="858"/>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 t="shared" si="14"/>
        <v>26</v>
      </c>
      <c r="B40" s="72" t="str">
        <f t="shared" si="0"/>
        <v>on</v>
      </c>
      <c r="C40" s="73" t="s">
        <v>217</v>
      </c>
      <c r="D40" s="74" t="str">
        <f t="shared" si="1"/>
        <v/>
      </c>
      <c r="E40" s="858"/>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f t="shared" si="11"/>
        <v>0</v>
      </c>
      <c r="DH40">
        <f t="shared" si="12"/>
        <v>0</v>
      </c>
      <c r="DI40" t="str">
        <f t="shared" si="13"/>
        <v/>
      </c>
      <c r="DJ40" t="str">
        <f t="shared" si="13"/>
        <v/>
      </c>
      <c r="DK40" t="str">
        <f t="shared" si="13"/>
        <v/>
      </c>
      <c r="DL40" t="str">
        <f t="shared" si="24"/>
        <v/>
      </c>
    </row>
    <row r="41" spans="1:116">
      <c r="A41" s="135">
        <f t="shared" si="14"/>
        <v>27</v>
      </c>
      <c r="B41" s="72" t="str">
        <f t="shared" si="0"/>
        <v>to</v>
      </c>
      <c r="C41" s="73" t="s">
        <v>217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fr</v>
      </c>
      <c r="C42" s="73" t="s">
        <v>217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c r="A43" s="135">
        <f>IF(ISNUMBER(A42),A42+1,1)</f>
        <v>29</v>
      </c>
      <c r="B43" s="72" t="str">
        <f t="shared" si="0"/>
        <v>lø</v>
      </c>
      <c r="C43" s="73" t="s">
        <v>77</v>
      </c>
      <c r="D43" s="74" t="str">
        <f t="shared" si="1"/>
        <v/>
      </c>
      <c r="E43" s="858"/>
      <c r="F43" s="859"/>
      <c r="G43" s="860"/>
      <c r="H43" s="175"/>
      <c r="I43" s="221"/>
      <c r="J43" s="221"/>
      <c r="K43" s="191">
        <f t="shared" si="15"/>
        <v>0</v>
      </c>
      <c r="L43" s="191">
        <f t="shared" si="16"/>
        <v>0</v>
      </c>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10"/>
        <v/>
      </c>
      <c r="DG43">
        <f t="shared" si="11"/>
        <v>0</v>
      </c>
      <c r="DH43">
        <f t="shared" si="12"/>
        <v>0</v>
      </c>
      <c r="DI43" t="str">
        <f t="shared" si="13"/>
        <v/>
      </c>
      <c r="DJ43" t="str">
        <f t="shared" si="13"/>
        <v/>
      </c>
      <c r="DK43" t="str">
        <f t="shared" si="13"/>
        <v/>
      </c>
      <c r="DL43" t="str">
        <f t="shared" si="24"/>
        <v/>
      </c>
    </row>
    <row r="44" spans="1:116">
      <c r="A44" s="135">
        <f t="shared" si="14"/>
        <v>30</v>
      </c>
      <c r="B44" s="72" t="str">
        <f t="shared" si="0"/>
        <v>sø</v>
      </c>
      <c r="C44" s="73" t="s">
        <v>77</v>
      </c>
      <c r="D44" s="74" t="str">
        <f t="shared" si="1"/>
        <v/>
      </c>
      <c r="E44" s="858"/>
      <c r="F44" s="859"/>
      <c r="G44" s="860"/>
      <c r="H44" s="175"/>
      <c r="I44" s="221"/>
      <c r="J44" s="221"/>
      <c r="K44" s="191">
        <f t="shared" si="15"/>
        <v>0</v>
      </c>
      <c r="L44" s="191">
        <f t="shared" si="16"/>
        <v>0</v>
      </c>
      <c r="M44" s="238"/>
      <c r="N44" s="357"/>
      <c r="O44" s="408"/>
      <c r="P44" s="195"/>
      <c r="Q44" s="196"/>
      <c r="R44" s="254"/>
      <c r="S44" s="192"/>
      <c r="T44" s="255"/>
      <c r="U44" s="193"/>
      <c r="V44">
        <f t="shared" si="17"/>
        <v>0</v>
      </c>
      <c r="W44">
        <f t="shared" si="2"/>
        <v>0</v>
      </c>
      <c r="X44" s="358">
        <f t="shared" si="18"/>
        <v>0</v>
      </c>
      <c r="Y44" s="358">
        <f t="shared" si="19"/>
        <v>0</v>
      </c>
      <c r="Z44" s="358">
        <f t="shared" si="3"/>
        <v>0</v>
      </c>
      <c r="AA44" s="358">
        <f t="shared" si="20"/>
        <v>0</v>
      </c>
      <c r="AB44" s="358">
        <f t="shared" si="21"/>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2"/>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10"/>
        <v/>
      </c>
      <c r="DG44">
        <f t="shared" si="11"/>
        <v>0</v>
      </c>
      <c r="DH44">
        <f t="shared" si="12"/>
        <v>0</v>
      </c>
      <c r="DI44" t="str">
        <f t="shared" si="13"/>
        <v/>
      </c>
      <c r="DJ44" t="str">
        <f t="shared" si="13"/>
        <v/>
      </c>
      <c r="DK44" t="str">
        <f t="shared" si="13"/>
        <v/>
      </c>
      <c r="DL44" t="str">
        <f t="shared" si="24"/>
        <v/>
      </c>
    </row>
    <row r="45" spans="1:116" ht="17" thickBot="1">
      <c r="A45" s="368" t="s">
        <v>127</v>
      </c>
      <c r="B45" s="369"/>
      <c r="C45" s="369"/>
      <c r="D45" s="369"/>
      <c r="E45" s="369"/>
      <c r="F45" s="369"/>
      <c r="G45" s="369"/>
      <c r="H45" s="369"/>
      <c r="I45" s="194"/>
      <c r="J45" s="194"/>
      <c r="K45" s="194">
        <f>SUM(K15:K44)</f>
        <v>0</v>
      </c>
      <c r="L45" s="194">
        <f>SUM(L15:L44)</f>
        <v>0</v>
      </c>
      <c r="M45"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f>
        <v>0</v>
      </c>
      <c r="N45" s="411"/>
      <c r="O45" s="412">
        <f>SUM(O15:O44)</f>
        <v>0</v>
      </c>
      <c r="P45" s="249"/>
      <c r="Q45" s="250"/>
      <c r="R45" s="250"/>
      <c r="S45"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f>
        <v>0</v>
      </c>
      <c r="T45"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f>
        <v>0</v>
      </c>
      <c r="U45"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f>
        <v>0</v>
      </c>
      <c r="V45" s="115">
        <f>SUM(V15:V44)</f>
        <v>0</v>
      </c>
      <c r="W45" s="228">
        <f>W15+W16+W17+W18+W19+W20+W21+W22+W23+W24+W25+W26+W27+W28+W29+W30+W31+W32+W33+W34+W35+W36+W37+W38+W39+W40+W41+W42+W43+W44</f>
        <v>0</v>
      </c>
      <c r="X45" s="129">
        <f t="shared" ref="X45:AC45" si="25">SUM(X15:X44)</f>
        <v>0</v>
      </c>
      <c r="Y45" s="129">
        <f t="shared" si="25"/>
        <v>0</v>
      </c>
      <c r="Z45" s="129">
        <f t="shared" si="25"/>
        <v>0</v>
      </c>
      <c r="AA45" s="129">
        <f t="shared" si="25"/>
        <v>0</v>
      </c>
      <c r="AB45" s="129">
        <f t="shared" si="25"/>
        <v>0</v>
      </c>
      <c r="AC45" s="129">
        <f t="shared" si="25"/>
        <v>0</v>
      </c>
      <c r="AD45">
        <f t="shared" ref="AD45:AI45" si="26">COUNTIF(AD14:AD44,"&gt;0")</f>
        <v>0</v>
      </c>
      <c r="AE45">
        <f t="shared" si="26"/>
        <v>0</v>
      </c>
      <c r="AF45">
        <f t="shared" si="26"/>
        <v>0</v>
      </c>
      <c r="AG45">
        <f t="shared" si="26"/>
        <v>0</v>
      </c>
      <c r="AH45">
        <f t="shared" si="26"/>
        <v>0</v>
      </c>
      <c r="AI45">
        <f t="shared" si="26"/>
        <v>0</v>
      </c>
      <c r="AJ45">
        <f>COUNTIF(AJ14:AJ44,"&gt;0")</f>
        <v>0</v>
      </c>
      <c r="AK45">
        <f t="shared" ref="AK45:BC45" si="27">COUNTIF(AK14:AK44,"&gt;0")</f>
        <v>0</v>
      </c>
      <c r="AL45">
        <f t="shared" si="27"/>
        <v>0</v>
      </c>
      <c r="AM45">
        <f t="shared" si="27"/>
        <v>0</v>
      </c>
      <c r="AN45">
        <f t="shared" si="27"/>
        <v>0</v>
      </c>
      <c r="AO45">
        <f t="shared" si="27"/>
        <v>0</v>
      </c>
      <c r="AP45">
        <f t="shared" si="27"/>
        <v>0</v>
      </c>
      <c r="AQ45">
        <f t="shared" si="27"/>
        <v>0</v>
      </c>
      <c r="AR45">
        <f t="shared" si="27"/>
        <v>0</v>
      </c>
      <c r="AS45">
        <f t="shared" si="27"/>
        <v>0</v>
      </c>
      <c r="AT45">
        <f t="shared" si="27"/>
        <v>0</v>
      </c>
      <c r="AU45">
        <f t="shared" si="27"/>
        <v>0</v>
      </c>
      <c r="AV45">
        <f t="shared" si="27"/>
        <v>0</v>
      </c>
      <c r="AW45">
        <f t="shared" si="27"/>
        <v>0</v>
      </c>
      <c r="AX45">
        <f t="shared" si="27"/>
        <v>0</v>
      </c>
      <c r="AY45">
        <f t="shared" si="27"/>
        <v>0</v>
      </c>
      <c r="AZ45">
        <f t="shared" si="27"/>
        <v>0</v>
      </c>
      <c r="BA45">
        <f t="shared" si="27"/>
        <v>0</v>
      </c>
      <c r="BB45">
        <f t="shared" si="27"/>
        <v>0</v>
      </c>
      <c r="BC45">
        <f t="shared" si="27"/>
        <v>0</v>
      </c>
      <c r="BD45">
        <f t="shared" ref="BD45:BM45" si="28">COUNTIF(BD15:BD44,"&gt;0")</f>
        <v>0</v>
      </c>
      <c r="BE45">
        <f t="shared" si="28"/>
        <v>0</v>
      </c>
      <c r="BF45">
        <f t="shared" si="28"/>
        <v>0</v>
      </c>
      <c r="BG45">
        <f t="shared" si="28"/>
        <v>0</v>
      </c>
      <c r="BH45">
        <f t="shared" si="28"/>
        <v>0</v>
      </c>
      <c r="BI45">
        <f t="shared" si="28"/>
        <v>0</v>
      </c>
      <c r="BJ45">
        <f t="shared" si="28"/>
        <v>0</v>
      </c>
      <c r="BK45">
        <f t="shared" si="28"/>
        <v>0</v>
      </c>
      <c r="BL45">
        <f t="shared" si="28"/>
        <v>0</v>
      </c>
      <c r="BM45">
        <f t="shared" si="28"/>
        <v>0</v>
      </c>
      <c r="BN45" s="1">
        <f>SUM(BN15:BN44)</f>
        <v>0</v>
      </c>
      <c r="BO45" s="62"/>
      <c r="BP45" s="129">
        <f>SUM(BP15:BP44)</f>
        <v>0</v>
      </c>
      <c r="BQ45" s="129">
        <f>SUM(BQ15:BQ44)</f>
        <v>0</v>
      </c>
      <c r="BR45" s="129">
        <f>SUM(BR15:BR44)</f>
        <v>0</v>
      </c>
      <c r="BS45" s="129">
        <f>SUM(BS15:BS44)</f>
        <v>0</v>
      </c>
      <c r="BT45" s="129">
        <f>SUM(BT15:BT44)</f>
        <v>0</v>
      </c>
      <c r="BU45" s="129"/>
      <c r="BV45" s="129"/>
      <c r="BW45" s="129"/>
      <c r="BX45" s="129"/>
      <c r="BY45" s="129"/>
      <c r="BZ45" s="129"/>
      <c r="CA45">
        <f>COUNTIF(CA14:CA44,"&gt;0")</f>
        <v>0</v>
      </c>
      <c r="CB45">
        <f t="shared" ref="CB45:CT45" si="29">COUNTIF(CB14:CB44,"&gt;0")</f>
        <v>0</v>
      </c>
      <c r="CC45">
        <f t="shared" si="29"/>
        <v>0</v>
      </c>
      <c r="CD45">
        <f t="shared" si="29"/>
        <v>0</v>
      </c>
      <c r="CE45">
        <f t="shared" si="29"/>
        <v>0</v>
      </c>
      <c r="CF45">
        <f t="shared" si="29"/>
        <v>0</v>
      </c>
      <c r="CG45">
        <f t="shared" si="29"/>
        <v>0</v>
      </c>
      <c r="CH45">
        <f t="shared" si="29"/>
        <v>0</v>
      </c>
      <c r="CI45">
        <f t="shared" si="29"/>
        <v>0</v>
      </c>
      <c r="CJ45">
        <f t="shared" si="29"/>
        <v>0</v>
      </c>
      <c r="CK45">
        <f t="shared" si="29"/>
        <v>0</v>
      </c>
      <c r="CL45">
        <f t="shared" si="29"/>
        <v>0</v>
      </c>
      <c r="CM45">
        <f t="shared" si="29"/>
        <v>0</v>
      </c>
      <c r="CN45">
        <f t="shared" si="29"/>
        <v>0</v>
      </c>
      <c r="CO45">
        <f t="shared" si="29"/>
        <v>0</v>
      </c>
      <c r="CP45">
        <f t="shared" si="29"/>
        <v>0</v>
      </c>
      <c r="CQ45">
        <f t="shared" si="29"/>
        <v>0</v>
      </c>
      <c r="CR45">
        <f t="shared" si="29"/>
        <v>0</v>
      </c>
      <c r="CS45">
        <f t="shared" si="29"/>
        <v>0</v>
      </c>
      <c r="CT45">
        <f t="shared" si="29"/>
        <v>0</v>
      </c>
      <c r="CU45">
        <f t="shared" ref="CU45:DD45" si="30">COUNTIF(CU15:CU44,"&gt;0")</f>
        <v>0</v>
      </c>
      <c r="CV45">
        <f t="shared" si="30"/>
        <v>0</v>
      </c>
      <c r="CW45">
        <f t="shared" si="30"/>
        <v>0</v>
      </c>
      <c r="CX45">
        <f t="shared" si="30"/>
        <v>0</v>
      </c>
      <c r="CY45">
        <f t="shared" si="30"/>
        <v>0</v>
      </c>
      <c r="CZ45">
        <f t="shared" si="30"/>
        <v>0</v>
      </c>
      <c r="DA45">
        <f t="shared" si="30"/>
        <v>0</v>
      </c>
      <c r="DB45">
        <f t="shared" si="30"/>
        <v>0</v>
      </c>
      <c r="DC45">
        <f t="shared" si="30"/>
        <v>0</v>
      </c>
      <c r="DD45">
        <f t="shared" si="30"/>
        <v>0</v>
      </c>
      <c r="DE45" s="129">
        <f>SUM(DE15:DE44)</f>
        <v>0</v>
      </c>
      <c r="DJ45" t="str">
        <f t="shared" si="13"/>
        <v/>
      </c>
      <c r="DK45" t="str">
        <f t="shared" si="13"/>
        <v/>
      </c>
      <c r="DL45" t="str">
        <f t="shared" ref="DL45" si="31">DI45&amp;" "&amp;DJ45&amp;" "&amp;DK45</f>
        <v xml:space="preserve">  </v>
      </c>
    </row>
    <row r="46" spans="1:116" ht="17" thickBot="1">
      <c r="A46" s="128"/>
      <c r="B46" s="128"/>
      <c r="C46" s="128"/>
      <c r="D46" s="128"/>
      <c r="E46" s="128"/>
      <c r="F46" s="128"/>
      <c r="G46" s="128"/>
      <c r="H46" s="128"/>
      <c r="I46" s="128"/>
      <c r="J46" s="128"/>
      <c r="K46" s="130"/>
      <c r="L46" s="130"/>
      <c r="M46" s="130"/>
      <c r="N46" s="257"/>
      <c r="O46" s="257"/>
      <c r="P46" s="130"/>
      <c r="Q46" s="130"/>
      <c r="R46" s="130"/>
      <c r="S46" s="130"/>
      <c r="T46" s="130"/>
      <c r="U46" s="130"/>
      <c r="V46" s="130"/>
      <c r="W46" s="130"/>
      <c r="X46" s="130"/>
      <c r="Y46" s="130"/>
      <c r="Z46" s="257"/>
      <c r="AA46" s="137"/>
      <c r="AB46" s="115"/>
      <c r="AC46" s="129"/>
      <c r="AD46" s="115"/>
      <c r="AE46" s="115"/>
      <c r="AF46" s="129"/>
      <c r="AG46" s="129"/>
      <c r="AH46" s="129"/>
      <c r="AI46" s="129"/>
      <c r="AJ46" s="129"/>
      <c r="AK46" s="129"/>
      <c r="AL46" s="129"/>
      <c r="AM46" s="129"/>
      <c r="AN46" s="129"/>
      <c r="AO46" s="129"/>
      <c r="BR46" s="257"/>
      <c r="BS46" s="137"/>
      <c r="BT46" s="137"/>
      <c r="BU46" s="129"/>
      <c r="BV46" s="115"/>
      <c r="BW46" s="129"/>
      <c r="BX46" s="129"/>
      <c r="BY46" s="129"/>
      <c r="BZ46" s="129"/>
      <c r="CA46" s="129">
        <f t="shared" ref="CA46:CC46" si="32">IF(OR(CA15&gt;0,AJ15&gt;0),1,0)+IF(OR(CA16&gt;0,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f>
        <v>0</v>
      </c>
      <c r="CB46" s="129">
        <f t="shared" si="32"/>
        <v>0</v>
      </c>
      <c r="CC46" s="129">
        <f t="shared" si="32"/>
        <v>0</v>
      </c>
      <c r="CD46" s="129">
        <f>IF(OR(CD15&gt;0,AM15&gt;0),1,0)+IF(OR(CD16&gt;0,AM16&gt;0),1,0)+IF(OR(CD17&gt;0,AM17&gt;0),1,0)+IF(OR(CD18&gt;0,AM18&gt;0),1,0)+IF(OR(CD19&gt;0,AM19&gt;0),1,0)+IF(OR(CD20&gt;0,AM20&gt;0),1,0)+IF(OR(CD21&gt;0,AM21&gt;0),1,0)+IF(OR(CD22&gt;0,AM22&gt;0),1,0)+IF(OR(CD23&gt;0,AM23&gt;0),1,0)+IF(OR(CD24&gt;0,AM24&gt;0),1,0)+IF(OR(CD25&gt;0,AM25&gt;0),1,0)+IF(OR(CD26&gt;0,AM26&gt;0),1,0)+IF(OR(CD27&gt;0,AM27&gt;0),1,0)+IF(OR(CD28&gt;0,AM28&gt;0),1,0)+IF(OR(CD29&gt;0,AM29&gt;0),1,0)+IF(OR(CD30&gt;0,AM30&gt;0),1,0)+IF(OR(CD31&gt;0,AM31&gt;0),1,0)+IF(OR(CD32&gt;0,AM32&gt;0),1,0)+IF(OR(CD33&gt;0,AM33&gt;0),1,0)+IF(OR(CD34&gt;0,AM34&gt;0),1,0)+IF(OR(CD35&gt;0,AM35&gt;0),1,0)+IF(OR(CD36&gt;0,AM36&gt;0),1,0)+IF(OR(CD37&gt;0,AM37&gt;0),1,0)+IF(OR(CD38&gt;0,AM38&gt;0),1,0)+IF(OR(CD39&gt;0,AM39&gt;0),1,0)+IF(OR(CD40&gt;0,AM40&gt;0),1,0)+IF(OR(CD41&gt;0,AM41&gt;0),1,0)+IF(OR(CD42&gt;0,AM42&gt;0),1,0)+IF(OR(CD43&gt;0,AM43&gt;0),1,0)+IF(OR(CD44&gt;0,AM44&gt;0),1,0)</f>
        <v>0</v>
      </c>
      <c r="CE46" s="129">
        <f t="shared" ref="CE46:DD46" si="33">IF(OR(CE15&gt;0,AN15&gt;0),1,0)+IF(OR(CE16&gt;0,AN16&gt;0),1,0)+IF(OR(CE17&gt;0,AN17&gt;0),1,0)+IF(OR(CE18&gt;0,AN18&gt;0),1,0)+IF(OR(CE19&gt;0,AN19&gt;0),1,0)+IF(OR(CE20&gt;0,AN20&gt;0),1,0)+IF(OR(CE21&gt;0,AN21&gt;0),1,0)+IF(OR(CE22&gt;0,AN22&gt;0),1,0)+IF(OR(CE23&gt;0,AN23&gt;0),1,0)+IF(OR(CE24&gt;0,AN24&gt;0),1,0)+IF(OR(CE25&gt;0,AN25&gt;0),1,0)+IF(OR(CE26&gt;0,AN26&gt;0),1,0)+IF(OR(CE27&gt;0,AN27&gt;0),1,0)+IF(OR(CE28&gt;0,AN28&gt;0),1,0)+IF(OR(CE29&gt;0,AN29&gt;0),1,0)+IF(OR(CE30&gt;0,AN30&gt;0),1,0)+IF(OR(CE31&gt;0,AN31&gt;0),1,0)+IF(OR(CE32&gt;0,AN32&gt;0),1,0)+IF(OR(CE33&gt;0,AN33&gt;0),1,0)+IF(OR(CE34&gt;0,AN34&gt;0),1,0)+IF(OR(CE35&gt;0,AN35&gt;0),1,0)+IF(OR(CE36&gt;0,AN36&gt;0),1,0)+IF(OR(CE37&gt;0,AN37&gt;0),1,0)+IF(OR(CE38&gt;0,AN38&gt;0),1,0)+IF(OR(CE39&gt;0,AN39&gt;0),1,0)+IF(OR(CE40&gt;0,AN40&gt;0),1,0)+IF(OR(CE41&gt;0,AN41&gt;0),1,0)+IF(OR(CE42&gt;0,AN42&gt;0),1,0)+IF(OR(CE43&gt;0,AN43&gt;0),1,0)+IF(OR(CE44&gt;0,AN44&gt;0),1,0)</f>
        <v>0</v>
      </c>
      <c r="CF46" s="129">
        <f t="shared" si="33"/>
        <v>0</v>
      </c>
      <c r="CG46" s="129">
        <f t="shared" si="33"/>
        <v>0</v>
      </c>
      <c r="CH46" s="129">
        <f t="shared" si="33"/>
        <v>0</v>
      </c>
      <c r="CI46" s="129">
        <f t="shared" si="33"/>
        <v>0</v>
      </c>
      <c r="CJ46" s="129">
        <f t="shared" si="33"/>
        <v>0</v>
      </c>
      <c r="CK46" s="129">
        <f t="shared" si="33"/>
        <v>0</v>
      </c>
      <c r="CL46" s="129">
        <f t="shared" si="33"/>
        <v>0</v>
      </c>
      <c r="CM46" s="129">
        <f t="shared" si="33"/>
        <v>0</v>
      </c>
      <c r="CN46" s="129">
        <f t="shared" si="33"/>
        <v>0</v>
      </c>
      <c r="CO46" s="129">
        <f t="shared" si="33"/>
        <v>0</v>
      </c>
      <c r="CP46" s="129">
        <f t="shared" si="33"/>
        <v>0</v>
      </c>
      <c r="CQ46" s="129">
        <f t="shared" si="33"/>
        <v>0</v>
      </c>
      <c r="CR46" s="129">
        <f t="shared" si="33"/>
        <v>0</v>
      </c>
      <c r="CS46" s="129">
        <f t="shared" si="33"/>
        <v>0</v>
      </c>
      <c r="CT46" s="129">
        <f t="shared" si="33"/>
        <v>0</v>
      </c>
      <c r="CU46" s="129">
        <f t="shared" si="33"/>
        <v>0</v>
      </c>
      <c r="CV46" s="129">
        <f t="shared" si="33"/>
        <v>0</v>
      </c>
      <c r="CW46" s="129">
        <f t="shared" si="33"/>
        <v>0</v>
      </c>
      <c r="CX46" s="129">
        <f t="shared" si="33"/>
        <v>0</v>
      </c>
      <c r="CY46" s="129">
        <f t="shared" si="33"/>
        <v>0</v>
      </c>
      <c r="CZ46" s="129">
        <f t="shared" si="33"/>
        <v>0</v>
      </c>
      <c r="DA46" s="129">
        <f t="shared" si="33"/>
        <v>0</v>
      </c>
      <c r="DB46" s="129">
        <f t="shared" si="33"/>
        <v>0</v>
      </c>
      <c r="DC46" s="129">
        <f t="shared" si="33"/>
        <v>0</v>
      </c>
      <c r="DD46" s="129">
        <f t="shared" si="33"/>
        <v>0</v>
      </c>
    </row>
    <row r="47" spans="1:116" ht="70" customHeight="1">
      <c r="A47" s="873" t="str">
        <f>"Arbejdstid for "&amp;A13&amp;" måned:"</f>
        <v>Arbejdstid for November måned:</v>
      </c>
      <c r="B47" s="874"/>
      <c r="C47" s="874"/>
      <c r="D47" s="874"/>
      <c r="E47" s="874"/>
      <c r="F47" s="874"/>
      <c r="G47" s="874"/>
      <c r="H47" s="201" t="s">
        <v>126</v>
      </c>
      <c r="I47" s="923" t="s">
        <v>115</v>
      </c>
      <c r="J47" s="924"/>
      <c r="K47" s="150"/>
      <c r="L47" s="966" t="s">
        <v>187</v>
      </c>
      <c r="M47" s="967"/>
      <c r="N47" s="967"/>
      <c r="O47" s="967"/>
      <c r="P47" s="967"/>
      <c r="Q47" s="967"/>
      <c r="R47" s="967"/>
      <c r="S47" s="968"/>
      <c r="T47" s="598" t="s">
        <v>361</v>
      </c>
      <c r="U47" s="373" t="s">
        <v>257</v>
      </c>
      <c r="V47" s="303"/>
      <c r="W47" s="117"/>
      <c r="X47" s="130"/>
      <c r="Y47" s="130"/>
      <c r="Z47" s="130"/>
      <c r="AA47"/>
      <c r="AB47"/>
      <c r="AK47" s="56"/>
      <c r="AL47" s="56"/>
      <c r="BO47" s="117"/>
      <c r="BP47" s="117"/>
      <c r="BQ47" s="130"/>
      <c r="BR47" s="130"/>
      <c r="BS47"/>
      <c r="BT47"/>
      <c r="CB47" s="56"/>
      <c r="CC47" s="56"/>
    </row>
    <row r="48" spans="1:116" ht="24" customHeight="1">
      <c r="A48" s="875" t="s">
        <v>270</v>
      </c>
      <c r="B48" s="876"/>
      <c r="C48" s="876"/>
      <c r="D48" s="876"/>
      <c r="E48" s="876"/>
      <c r="F48" s="876"/>
      <c r="G48" s="876"/>
      <c r="H48" s="145">
        <f>D82-D80-A92-D79</f>
        <v>20</v>
      </c>
      <c r="I48" s="852">
        <f>J65</f>
        <v>0</v>
      </c>
      <c r="J48" s="853"/>
      <c r="K48" s="147"/>
      <c r="L48" s="970"/>
      <c r="M48" s="971"/>
      <c r="N48" s="971"/>
      <c r="O48" s="971"/>
      <c r="P48" s="971"/>
      <c r="Q48" s="971"/>
      <c r="R48" s="971"/>
      <c r="S48" s="971"/>
      <c r="T48" s="392">
        <f>Oktober!T57</f>
        <v>0</v>
      </c>
      <c r="U48" s="393">
        <f>Oktober!U57</f>
        <v>0</v>
      </c>
      <c r="V48" s="303"/>
      <c r="W48" s="130"/>
      <c r="X48" s="130"/>
      <c r="Y48" s="130"/>
      <c r="Z48" s="130"/>
      <c r="AA48"/>
      <c r="AB48"/>
      <c r="AK48" s="56"/>
      <c r="AL48" s="56"/>
      <c r="BO48" s="130"/>
      <c r="BP48" s="130"/>
      <c r="BQ48" s="130"/>
      <c r="BR48" s="130"/>
      <c r="BS48"/>
      <c r="BT48"/>
      <c r="CB48" s="56"/>
      <c r="CC48" s="56"/>
    </row>
    <row r="49" spans="1:114" ht="24" customHeight="1">
      <c r="A49" s="875" t="str">
        <f>"Ferie "&amp;A13&amp;" måned"</f>
        <v>Ferie November måned</v>
      </c>
      <c r="B49" s="876"/>
      <c r="C49" s="876"/>
      <c r="D49" s="876"/>
      <c r="E49" s="876"/>
      <c r="F49" s="876"/>
      <c r="G49" s="876"/>
      <c r="H49" s="146" t="str">
        <f>IF(D76&gt;0,$D$76,"0")</f>
        <v>0</v>
      </c>
      <c r="I49" s="961">
        <f>H49*7.4*Stamoplysninger!E21</f>
        <v>0</v>
      </c>
      <c r="J49" s="962"/>
      <c r="K49" s="147"/>
      <c r="L49" s="388" t="s">
        <v>190</v>
      </c>
      <c r="M49" s="389"/>
      <c r="N49" s="389"/>
      <c r="O49" s="389"/>
      <c r="P49" s="389"/>
      <c r="Q49" s="389"/>
      <c r="R49" s="389"/>
      <c r="S49" s="389"/>
      <c r="T49" s="592"/>
      <c r="U49" s="356"/>
      <c r="V49" s="303"/>
      <c r="W49" s="130"/>
      <c r="X49" s="130"/>
      <c r="Y49" s="130"/>
      <c r="Z49" s="130"/>
      <c r="AA49"/>
      <c r="AB49"/>
      <c r="AK49" s="56"/>
      <c r="AL49" s="56"/>
      <c r="BO49" s="130"/>
      <c r="BP49" s="130"/>
      <c r="BQ49" s="130"/>
      <c r="BR49" s="130"/>
      <c r="BS49"/>
      <c r="BT49"/>
      <c r="CB49" s="56"/>
      <c r="CC49" s="56"/>
    </row>
    <row r="50" spans="1:114" ht="24" customHeight="1">
      <c r="A50" s="875" t="str">
        <f>"Søgnehelligdage i "&amp;A13&amp;" måned"</f>
        <v>Søgnehelligdage i November måned</v>
      </c>
      <c r="B50" s="876"/>
      <c r="C50" s="876"/>
      <c r="D50" s="876"/>
      <c r="E50" s="876"/>
      <c r="F50" s="876"/>
      <c r="G50" s="876"/>
      <c r="H50" s="403">
        <f>IF(D81&gt;0,D81,0)</f>
        <v>0</v>
      </c>
      <c r="I50" s="961">
        <f>H50*7.4*Stamoplysninger!E21</f>
        <v>0</v>
      </c>
      <c r="J50" s="962"/>
      <c r="K50" s="225"/>
      <c r="L50" s="948" t="s">
        <v>363</v>
      </c>
      <c r="M50" s="949"/>
      <c r="N50" s="949"/>
      <c r="O50" s="949"/>
      <c r="P50" s="949"/>
      <c r="Q50" s="949"/>
      <c r="R50" s="949"/>
      <c r="S50" s="949"/>
      <c r="T50" s="949"/>
      <c r="U50" s="950"/>
      <c r="V50" s="303"/>
      <c r="W50" s="130"/>
      <c r="X50" s="130"/>
      <c r="Y50" s="130"/>
      <c r="Z50" s="130"/>
      <c r="AA50"/>
      <c r="AB50"/>
      <c r="AK50" s="56"/>
      <c r="AL50" s="56"/>
      <c r="BO50" s="130"/>
      <c r="BP50" s="130"/>
      <c r="BQ50" s="130"/>
      <c r="BR50" s="130"/>
      <c r="BS50"/>
      <c r="BT50"/>
      <c r="CB50" s="56"/>
      <c r="CC50" s="56"/>
    </row>
    <row r="51" spans="1:114" ht="24" customHeight="1">
      <c r="A51" s="875" t="str">
        <f>"Nettoarbejdstid ialt i "&amp;A13&amp;" måned"</f>
        <v>Nettoarbejdstid ialt i November måned</v>
      </c>
      <c r="B51" s="876"/>
      <c r="C51" s="876"/>
      <c r="D51" s="876"/>
      <c r="E51" s="876"/>
      <c r="F51" s="876"/>
      <c r="G51" s="876"/>
      <c r="H51" s="148">
        <f>H48-H49-H50</f>
        <v>20</v>
      </c>
      <c r="I51" s="961">
        <f>IF(Stamoplysninger!$E$18="Ikke omfattet af overenskomst - ansat med en fast årsnorm",Stamoplysninger!$E$20/228*H51*Stamoplysninger!$E$21,I48-I49-I50)</f>
        <v>0</v>
      </c>
      <c r="J51" s="962"/>
      <c r="K51" s="225"/>
      <c r="L51" s="375" t="s">
        <v>362</v>
      </c>
      <c r="M51" s="376" t="s">
        <v>201</v>
      </c>
      <c r="N51" s="954" t="s">
        <v>277</v>
      </c>
      <c r="O51" s="949"/>
      <c r="P51" s="949"/>
      <c r="Q51" s="949"/>
      <c r="R51" s="949"/>
      <c r="S51" s="955"/>
      <c r="T51" s="921" t="s">
        <v>188</v>
      </c>
      <c r="U51" s="922"/>
      <c r="V51" s="303"/>
      <c r="W51" s="130"/>
      <c r="X51" s="130"/>
      <c r="Y51" s="130"/>
      <c r="Z51" s="130"/>
      <c r="AA51"/>
      <c r="AB51"/>
      <c r="AK51" s="56"/>
      <c r="AL51" s="56"/>
      <c r="BO51" s="130"/>
      <c r="BP51" s="130"/>
      <c r="BQ51" s="130"/>
      <c r="BR51" s="130"/>
      <c r="BS51"/>
      <c r="BT51"/>
      <c r="CB51" s="56"/>
      <c r="CC51" s="56"/>
    </row>
    <row r="52" spans="1:114" ht="24" customHeight="1">
      <c r="A52" s="881" t="str">
        <f>"Planlagt arbejdstid efter ovennstående "&amp;A13&amp;" måned kalender"</f>
        <v>Planlagt arbejdstid efter ovennstående November måned kalender</v>
      </c>
      <c r="B52" s="882"/>
      <c r="C52" s="882"/>
      <c r="D52" s="882"/>
      <c r="E52" s="882"/>
      <c r="F52" s="882"/>
      <c r="G52" s="882"/>
      <c r="H52" s="281">
        <f>D59+D60+D61+D62+D65+D66+D73+D67+D68+D69+D70+D71+D72+D74+D75+D63+D64</f>
        <v>20</v>
      </c>
      <c r="I52" s="940">
        <f>K45+L45+M45-J60</f>
        <v>0</v>
      </c>
      <c r="J52" s="941"/>
      <c r="K52" s="225"/>
      <c r="L52" s="372"/>
      <c r="M52" s="304"/>
      <c r="N52" s="956"/>
      <c r="O52" s="957"/>
      <c r="P52" s="957"/>
      <c r="Q52" s="957"/>
      <c r="R52" s="957"/>
      <c r="S52" s="958"/>
      <c r="T52" s="304"/>
      <c r="U52" s="371"/>
      <c r="V52" s="303"/>
      <c r="W52" s="130"/>
      <c r="X52" s="130"/>
      <c r="Y52" s="130"/>
      <c r="Z52" s="130"/>
      <c r="AA52"/>
      <c r="AB52"/>
      <c r="AK52" s="56"/>
      <c r="AL52" s="56"/>
      <c r="BO52" s="130"/>
      <c r="BP52" s="130"/>
      <c r="BQ52" s="130"/>
      <c r="BR52" s="130"/>
      <c r="BS52"/>
      <c r="BT52"/>
      <c r="CB52" s="56"/>
      <c r="CC52" s="56"/>
    </row>
    <row r="53" spans="1:114" ht="24" customHeight="1">
      <c r="A53" s="883" t="str">
        <f>"Arbejde særligt planlagt for "&amp;A13&amp;" måned efter fanen normale uger"</f>
        <v>Arbejde særligt planlagt for November måned efter fanen normale uger</v>
      </c>
      <c r="B53" s="884"/>
      <c r="C53" s="884"/>
      <c r="D53" s="884"/>
      <c r="E53" s="884"/>
      <c r="F53" s="884"/>
      <c r="G53" s="884"/>
      <c r="H53" s="885"/>
      <c r="I53" s="942">
        <f>IF(I52=0,0,'Normal uger'!O98)</f>
        <v>0</v>
      </c>
      <c r="J53" s="943"/>
      <c r="K53" s="226"/>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413" t="s">
        <v>273</v>
      </c>
      <c r="B54" s="414"/>
      <c r="C54" s="414"/>
      <c r="D54" s="414"/>
      <c r="E54" s="414"/>
      <c r="F54" s="414"/>
      <c r="G54" s="414"/>
      <c r="H54" s="415"/>
      <c r="I54" s="959" t="e">
        <f>IF(Arbejdstidsoversigt!$H$54="Puljetimer registreres i månedskalendere",O45-L60,SUM(Arbejdstidsoversigt!J34:J52)/Arbejdstidsoversigt!$G$20*H51)</f>
        <v>#DIV/0!</v>
      </c>
      <c r="J54" s="960"/>
      <c r="K54" s="226"/>
      <c r="L54" s="372"/>
      <c r="M54" s="304"/>
      <c r="N54" s="956"/>
      <c r="O54" s="957"/>
      <c r="P54" s="957"/>
      <c r="Q54" s="957"/>
      <c r="R54" s="957"/>
      <c r="S54" s="958"/>
      <c r="T54" s="353"/>
      <c r="U54" s="371"/>
      <c r="V54" s="406"/>
      <c r="W54" s="406"/>
      <c r="X54" s="303"/>
      <c r="Y54" s="130"/>
      <c r="Z54" s="130"/>
      <c r="AA54" s="130"/>
      <c r="AB54" s="130"/>
      <c r="AM54" s="56"/>
      <c r="AN54" s="56"/>
      <c r="BQ54" s="130"/>
      <c r="BR54" s="130"/>
      <c r="BS54" s="130"/>
      <c r="BT54" s="130"/>
      <c r="CD54" s="56"/>
      <c r="CE54" s="56"/>
    </row>
    <row r="55" spans="1:114" ht="24" customHeight="1">
      <c r="A55" s="877" t="s">
        <v>248</v>
      </c>
      <c r="B55" s="878"/>
      <c r="C55" s="878"/>
      <c r="D55" s="878"/>
      <c r="E55" s="878"/>
      <c r="F55" s="878"/>
      <c r="G55" s="878"/>
      <c r="H55" s="878"/>
      <c r="I55" s="944">
        <f>S45+U45+T45-P60-Q60-R60</f>
        <v>0</v>
      </c>
      <c r="J55" s="945"/>
      <c r="K55" s="227"/>
      <c r="L55" s="372"/>
      <c r="M55" s="304"/>
      <c r="N55" s="956"/>
      <c r="O55" s="957"/>
      <c r="P55" s="957"/>
      <c r="Q55" s="957"/>
      <c r="R55" s="957"/>
      <c r="S55" s="958"/>
      <c r="T55" s="304"/>
      <c r="U55" s="371"/>
      <c r="V55" s="303"/>
      <c r="W55" s="137"/>
      <c r="X55" s="130"/>
      <c r="Z55" s="130"/>
      <c r="AA55" s="130"/>
      <c r="AB55"/>
      <c r="AM55" s="56"/>
      <c r="AN55" s="56"/>
      <c r="BO55" s="137"/>
      <c r="BP55" s="137"/>
      <c r="BR55" s="130"/>
      <c r="BS55"/>
      <c r="BT55"/>
      <c r="CD55" s="56"/>
      <c r="CE55" s="56"/>
    </row>
    <row r="56" spans="1:114" ht="24" customHeight="1" thickBot="1">
      <c r="A56" s="149" t="str">
        <f>"Faktisk arbejdstid ialt i "&amp;A13&amp;" måned"</f>
        <v>Faktisk arbejdstid ialt i November måned</v>
      </c>
      <c r="B56" s="188"/>
      <c r="C56" s="189"/>
      <c r="D56" s="189"/>
      <c r="E56" s="189"/>
      <c r="F56" s="189"/>
      <c r="G56" s="189"/>
      <c r="H56" s="190"/>
      <c r="I56" s="946" t="e">
        <f>SUM(I52:J55)</f>
        <v>#DIV/0!</v>
      </c>
      <c r="J56" s="947"/>
      <c r="K56" s="131"/>
      <c r="L56" s="951" t="s">
        <v>189</v>
      </c>
      <c r="M56" s="952"/>
      <c r="N56" s="952"/>
      <c r="O56" s="952"/>
      <c r="P56" s="952"/>
      <c r="Q56" s="952"/>
      <c r="R56" s="952"/>
      <c r="S56" s="953"/>
      <c r="T56" s="387">
        <f>T48+T49-SUM(T52:T55)</f>
        <v>0</v>
      </c>
      <c r="U56" s="394">
        <f>U48+U49-SUM(U52:U55)</f>
        <v>0</v>
      </c>
      <c r="V56" s="303"/>
      <c r="W56" s="137"/>
      <c r="X56" s="130"/>
      <c r="Z56" s="130"/>
      <c r="AA56" s="130"/>
      <c r="AB56"/>
      <c r="AL56" s="56"/>
      <c r="AM56" s="56"/>
      <c r="BO56" s="137"/>
      <c r="BP56" s="137"/>
      <c r="BR56" s="130"/>
      <c r="BS56"/>
      <c r="BT56"/>
      <c r="CC56" s="56"/>
      <c r="CD56" s="56"/>
    </row>
    <row r="57" spans="1:114" hidden="1">
      <c r="A57" s="144"/>
      <c r="B57" s="144"/>
      <c r="C57" s="144"/>
      <c r="D57" s="144"/>
      <c r="E57" s="144"/>
      <c r="F57" s="144"/>
      <c r="G57" s="144"/>
      <c r="H57" s="144"/>
      <c r="I57" s="302"/>
      <c r="J57" s="302"/>
      <c r="K57" s="302"/>
      <c r="L57" s="290"/>
      <c r="M57" s="252"/>
      <c r="N57" s="252"/>
      <c r="O57" s="252"/>
      <c r="P57" s="252"/>
      <c r="Q57" s="252"/>
      <c r="R57" s="205"/>
      <c r="S57" s="253"/>
      <c r="T57" s="126"/>
      <c r="U57" s="126"/>
      <c r="V57" s="126"/>
      <c r="W57" s="126"/>
      <c r="X57" s="126"/>
      <c r="Y57" s="63"/>
      <c r="Z57" s="63"/>
      <c r="AA57" s="130"/>
      <c r="AB57" s="130"/>
      <c r="AC57" s="130"/>
      <c r="AD57" s="130"/>
      <c r="AE57" s="118"/>
      <c r="AF57" s="137"/>
      <c r="AG57" s="137"/>
      <c r="AH57" s="137"/>
      <c r="AI57" s="137"/>
      <c r="AJ57" s="137"/>
      <c r="AK57" s="137"/>
      <c r="AL57" s="137"/>
      <c r="AM57" s="137"/>
      <c r="AN57" s="137"/>
      <c r="AO57" s="137"/>
      <c r="AP57" s="130"/>
      <c r="AR57" s="130"/>
      <c r="AS57" s="130"/>
      <c r="AW57" s="56"/>
      <c r="AX57" s="56"/>
      <c r="BG57" s="56"/>
      <c r="BH57" s="56"/>
      <c r="BS57" s="130"/>
      <c r="BT57" s="130"/>
      <c r="BU57" s="130"/>
      <c r="BV57" s="130"/>
      <c r="BW57" s="137"/>
      <c r="BX57" s="137"/>
      <c r="BY57" s="137"/>
      <c r="BZ57" s="137"/>
      <c r="CA57" s="137"/>
      <c r="CB57" s="137"/>
      <c r="CC57" s="137"/>
      <c r="CD57" s="137"/>
      <c r="CE57" s="137"/>
      <c r="CF57" s="137"/>
      <c r="CG57" s="130"/>
      <c r="CI57" s="130"/>
      <c r="CJ57" s="130"/>
      <c r="CN57" s="56"/>
      <c r="CO57" s="56"/>
      <c r="DH57" s="138"/>
      <c r="DI57" s="138"/>
    </row>
    <row r="58" spans="1:114" hidden="1">
      <c r="A58" s="286"/>
      <c r="B58" s="286"/>
      <c r="C58" s="286"/>
      <c r="D58" s="286"/>
      <c r="E58" s="286"/>
      <c r="F58" s="286"/>
      <c r="G58" s="286"/>
      <c r="H58" s="287"/>
      <c r="I58" s="288"/>
      <c r="K58" s="286"/>
      <c r="L58" s="289"/>
      <c r="M58" s="279"/>
      <c r="N58" s="279"/>
      <c r="O58" s="279"/>
      <c r="P58" s="279"/>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R58" s="303"/>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95" t="s">
        <v>217</v>
      </c>
      <c r="B59" s="295"/>
      <c r="C59" s="295"/>
      <c r="D59" s="295">
        <f>COUNTIF([0]!November1,"Normal uge 1")</f>
        <v>20</v>
      </c>
      <c r="E59" s="296"/>
      <c r="F59" s="295"/>
      <c r="G59" s="295"/>
      <c r="H59" s="288"/>
      <c r="I59" s="291"/>
      <c r="J59" s="289"/>
      <c r="K59" s="289"/>
      <c r="L59" s="291"/>
      <c r="M59" s="280"/>
      <c r="N59" s="252"/>
      <c r="O59" s="252"/>
      <c r="P59" s="280"/>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X59" s="56"/>
      <c r="CY59" s="56"/>
      <c r="DG59" s="1"/>
      <c r="DI59" s="138"/>
      <c r="DJ59" s="138"/>
    </row>
    <row r="60" spans="1:114" hidden="1">
      <c r="A60" s="969" t="s">
        <v>204</v>
      </c>
      <c r="B60" s="969"/>
      <c r="C60" s="969"/>
      <c r="D60" s="295">
        <f>COUNTIF([0]!November1,"Normal uge 2")</f>
        <v>0</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 si="34">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205</v>
      </c>
      <c r="B61" s="969"/>
      <c r="C61" s="969"/>
      <c r="D61" s="295">
        <f>COUNTIF([0]!November1,"Normal uge 3")</f>
        <v>0</v>
      </c>
      <c r="E61" s="296"/>
      <c r="F61" s="295"/>
      <c r="G61" s="295" t="s">
        <v>489</v>
      </c>
      <c r="H61" s="852">
        <f>IF(AND(Stamoplysninger!$E$18="BUPL/FOA",Stamoplysninger!$E$19="Ja"),1924/Arbejdstidsoversigt!$K$13*Stamoplysninger!$E$21*$H$48,H48*7.4*Stamoplysninger!$E$21)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206</v>
      </c>
      <c r="B62" s="969"/>
      <c r="C62" s="969"/>
      <c r="D62" s="295">
        <f>COUNTIF([0]!November1,"Normal uge 4")</f>
        <v>0</v>
      </c>
      <c r="E62" s="296"/>
      <c r="F62" s="295"/>
      <c r="G62" s="295" t="s">
        <v>212</v>
      </c>
      <c r="H62" s="852">
        <f>IF(AND(Stamoplysninger!$E$18="HK",Stamoplysninger!$E$19="Ja"),1924/Arbejdstidsoversigt!$K$13*Stamoplysninger!$E$21*$H$48,$H$48*7.4*Stamoplysninger!$E$21)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650" t="s">
        <v>406</v>
      </c>
      <c r="B63" s="650"/>
      <c r="C63" s="650"/>
      <c r="D63" s="295">
        <f>COUNTIF([0]!November1,"Normal uge 5")</f>
        <v>0</v>
      </c>
      <c r="E63" s="296"/>
      <c r="F63" s="295"/>
      <c r="G63" s="295" t="s">
        <v>213</v>
      </c>
      <c r="H63" s="288">
        <f>IF(Stamoplysninger!$E$18="3F",7.4*Stamoplysninger!$E$21*$H$48,0)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2" t="s">
        <v>407</v>
      </c>
      <c r="B64" s="652"/>
      <c r="C64" s="652"/>
      <c r="D64" s="295">
        <f>COUNTIF([0]!November1,"Normal uge 6")</f>
        <v>0</v>
      </c>
      <c r="E64" s="296"/>
      <c r="F64" s="295"/>
      <c r="G64" s="295" t="s">
        <v>498</v>
      </c>
      <c r="H64" s="288">
        <f>IF(Stamoplysninger!$E$18="Ikke omfattet af overenskomst - ansat med en variabel årsnorm",7.4*Stamoplysninger!$E$21*$H$48,0)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1" hidden="1">
      <c r="A65" s="295" t="s">
        <v>228</v>
      </c>
      <c r="B65" s="295"/>
      <c r="C65" s="295"/>
      <c r="D65" s="295">
        <f>COUNTIF([0]!November1,"Anderledes dag")</f>
        <v>0</v>
      </c>
      <c r="E65" s="296"/>
      <c r="F65" s="295"/>
      <c r="G65" s="295"/>
      <c r="H65" s="288"/>
      <c r="I65" s="288"/>
      <c r="J65" s="289">
        <f>SUM(J60:J64)</f>
        <v>0</v>
      </c>
      <c r="K65" s="291"/>
      <c r="L65" s="292"/>
      <c r="M65" s="280"/>
      <c r="N65" s="280"/>
      <c r="O65" s="280"/>
      <c r="P65" s="280"/>
      <c r="AA65"/>
      <c r="AB65"/>
      <c r="AW65" s="1"/>
      <c r="BG65" s="1"/>
      <c r="BR65" s="63"/>
      <c r="BS65"/>
      <c r="BT65"/>
      <c r="CN65" s="1"/>
      <c r="CU65" s="130"/>
      <c r="CY65" s="56"/>
      <c r="CZ65" s="56"/>
      <c r="DG65" s="138"/>
    </row>
    <row r="66" spans="1:111" hidden="1">
      <c r="A66" s="297" t="s">
        <v>370</v>
      </c>
      <c r="B66" s="295"/>
      <c r="C66" s="295"/>
      <c r="D66" s="295">
        <f>COUNTIF([0]!November1,"Ferieåbning")</f>
        <v>0</v>
      </c>
      <c r="E66" s="296"/>
      <c r="F66" s="295"/>
      <c r="G66" s="295"/>
      <c r="H66" s="288"/>
      <c r="I66" s="292"/>
      <c r="J66" s="292"/>
      <c r="K66" s="292"/>
      <c r="L66" s="292"/>
      <c r="M66" s="280"/>
      <c r="N66" s="280"/>
      <c r="O66" s="280"/>
      <c r="P66" s="280"/>
      <c r="AA66"/>
      <c r="AB66"/>
      <c r="AW66" s="1"/>
      <c r="BG66" s="1"/>
      <c r="BR66" s="63"/>
      <c r="BS66"/>
      <c r="BT66"/>
      <c r="CN66" s="1"/>
      <c r="CX66" s="1"/>
      <c r="DG66" s="138"/>
    </row>
    <row r="67" spans="1:111" hidden="1">
      <c r="A67" s="297" t="s">
        <v>218</v>
      </c>
      <c r="B67" s="295"/>
      <c r="C67" s="295"/>
      <c r="D67" s="295">
        <f>COUNTIF([0]!November1,"Rul 1")</f>
        <v>0</v>
      </c>
      <c r="E67" s="296"/>
      <c r="F67" s="295"/>
      <c r="G67" s="295"/>
      <c r="H67" s="288"/>
      <c r="I67" s="292"/>
      <c r="J67" s="292"/>
      <c r="K67" s="292"/>
      <c r="L67" s="292"/>
      <c r="M67" s="252"/>
      <c r="N67" s="280"/>
      <c r="O67" s="280"/>
      <c r="P67" s="252"/>
      <c r="AA67"/>
      <c r="AB67"/>
      <c r="AW67" s="1"/>
      <c r="BG67" s="1"/>
      <c r="BR67" s="63"/>
      <c r="BS67"/>
      <c r="BT67"/>
      <c r="CN67" s="1"/>
      <c r="CX67" s="1"/>
      <c r="DG67" s="138"/>
    </row>
    <row r="68" spans="1:111" hidden="1">
      <c r="A68" s="297" t="s">
        <v>219</v>
      </c>
      <c r="B68" s="295"/>
      <c r="C68" s="295"/>
      <c r="D68" s="295">
        <f>COUNTIF([0]!November1,"Rul 2")</f>
        <v>0</v>
      </c>
      <c r="E68" s="296"/>
      <c r="F68" s="295"/>
      <c r="G68" s="295"/>
      <c r="H68" s="288"/>
      <c r="I68" s="292"/>
      <c r="J68" s="292"/>
      <c r="K68" s="292"/>
      <c r="L68" s="292"/>
      <c r="N68" s="280"/>
      <c r="O68" s="280"/>
      <c r="AA68"/>
      <c r="AB68"/>
      <c r="AW68" s="1"/>
      <c r="BG68" s="1"/>
      <c r="BR68" s="63"/>
      <c r="BS68"/>
      <c r="BT68"/>
      <c r="CN68" s="1"/>
      <c r="CX68" s="1"/>
      <c r="DG68" s="138"/>
    </row>
    <row r="69" spans="1:111" hidden="1">
      <c r="A69" s="297" t="s">
        <v>220</v>
      </c>
      <c r="B69" s="295"/>
      <c r="C69" s="295"/>
      <c r="D69" s="295">
        <f>COUNTIF([0]!November1,"Rul 3")</f>
        <v>0</v>
      </c>
      <c r="E69" s="296"/>
      <c r="F69" s="295"/>
      <c r="G69" s="295"/>
      <c r="H69" s="288"/>
      <c r="I69" s="292"/>
      <c r="J69" s="292"/>
      <c r="K69" s="292"/>
      <c r="L69" s="292"/>
      <c r="N69" s="252"/>
      <c r="O69" s="252"/>
      <c r="P69" s="288"/>
      <c r="AA69"/>
      <c r="AB69"/>
      <c r="AW69" s="1"/>
      <c r="BG69" s="1"/>
      <c r="BR69" s="63"/>
      <c r="BS69"/>
      <c r="BT69"/>
      <c r="CN69" s="1"/>
      <c r="CX69" s="1"/>
      <c r="DG69" s="138"/>
    </row>
    <row r="70" spans="1:111" hidden="1">
      <c r="A70" s="297" t="s">
        <v>221</v>
      </c>
      <c r="B70" s="295"/>
      <c r="C70" s="295"/>
      <c r="D70" s="295">
        <f>COUNTIF([0]!November1,"Rul 4")</f>
        <v>0</v>
      </c>
      <c r="E70" s="296"/>
      <c r="F70" s="295"/>
      <c r="G70" s="295"/>
      <c r="H70" s="288"/>
      <c r="I70" s="292"/>
      <c r="J70" s="292"/>
      <c r="K70" s="292"/>
      <c r="L70" s="292"/>
      <c r="AA70"/>
      <c r="AB70"/>
      <c r="AW70" s="1"/>
      <c r="BG70" s="1"/>
      <c r="BS70"/>
      <c r="BT70"/>
      <c r="CN70" s="1"/>
      <c r="CX70" s="1"/>
      <c r="DG70" s="138"/>
    </row>
    <row r="71" spans="1:111" hidden="1">
      <c r="A71" s="297" t="s">
        <v>222</v>
      </c>
      <c r="B71" s="295"/>
      <c r="C71" s="295"/>
      <c r="D71" s="295">
        <f>COUNTIF([0]!November1,"Rul 5")</f>
        <v>0</v>
      </c>
      <c r="E71" s="296"/>
      <c r="F71" s="295"/>
      <c r="G71" s="295"/>
      <c r="H71" s="288"/>
      <c r="I71" s="292"/>
      <c r="J71" s="292"/>
      <c r="K71" s="292"/>
      <c r="L71" s="292"/>
      <c r="AA71"/>
      <c r="AB71"/>
      <c r="AW71" s="1"/>
      <c r="BG71" s="1"/>
      <c r="BS71"/>
      <c r="BT71"/>
      <c r="CN71" s="1"/>
      <c r="CX71" s="1"/>
      <c r="DG71" s="138"/>
    </row>
    <row r="72" spans="1:111" hidden="1">
      <c r="A72" s="297" t="s">
        <v>223</v>
      </c>
      <c r="B72" s="295"/>
      <c r="C72" s="295"/>
      <c r="D72" s="295">
        <f>COUNTIF([0]!November1,"Rul 6")</f>
        <v>0</v>
      </c>
      <c r="E72" s="296"/>
      <c r="F72" s="298"/>
      <c r="G72" s="298"/>
      <c r="H72" s="294"/>
      <c r="I72" s="292"/>
      <c r="J72" s="292"/>
      <c r="K72" s="292"/>
      <c r="L72" s="292"/>
      <c r="AA72"/>
      <c r="AB72"/>
      <c r="AW72" s="1"/>
      <c r="BG72" s="1"/>
      <c r="BS72"/>
      <c r="BT72"/>
      <c r="CN72" s="1"/>
      <c r="CX72" s="1"/>
      <c r="DG72" s="138"/>
    </row>
    <row r="73" spans="1:111" hidden="1">
      <c r="A73" s="295" t="s">
        <v>83</v>
      </c>
      <c r="B73" s="295"/>
      <c r="C73" s="295"/>
      <c r="D73" s="295">
        <f>COUNTIF([0]!November1,"Pæd.dag")</f>
        <v>0</v>
      </c>
      <c r="E73" s="296"/>
      <c r="F73" s="295"/>
      <c r="G73" s="295"/>
      <c r="H73" s="288"/>
      <c r="I73" s="292"/>
      <c r="J73" s="292"/>
      <c r="K73" s="292"/>
      <c r="L73" s="291"/>
      <c r="AA73"/>
      <c r="AB73"/>
      <c r="AW73" s="1"/>
      <c r="BG73" s="1"/>
      <c r="BS73"/>
      <c r="BT73"/>
      <c r="CN73" s="1"/>
      <c r="CX73" s="1"/>
      <c r="DG73" s="138"/>
    </row>
    <row r="74" spans="1:111" hidden="1">
      <c r="A74" s="295" t="s">
        <v>227</v>
      </c>
      <c r="B74" s="295"/>
      <c r="C74" s="295"/>
      <c r="D74" s="295">
        <f>COUNTIF([0]!November1,"Koloni")</f>
        <v>0</v>
      </c>
      <c r="E74" s="296"/>
      <c r="F74" s="295"/>
      <c r="G74" s="295"/>
      <c r="H74" s="288"/>
      <c r="I74" s="292"/>
      <c r="J74" s="292"/>
      <c r="K74" s="292"/>
      <c r="L74" s="291"/>
      <c r="AA74"/>
      <c r="AB74"/>
      <c r="AW74" s="1"/>
      <c r="BG74" s="1"/>
      <c r="BS74"/>
      <c r="BT74"/>
      <c r="CN74" s="1"/>
      <c r="CX74" s="1"/>
      <c r="DG74" s="138"/>
    </row>
    <row r="75" spans="1:111" hidden="1">
      <c r="A75" s="295" t="s">
        <v>82</v>
      </c>
      <c r="B75" s="295"/>
      <c r="C75" s="295"/>
      <c r="D75" s="295">
        <f>COUNTIF([0]!November1,"Ekskursion")</f>
        <v>0</v>
      </c>
      <c r="E75" s="296"/>
      <c r="F75" s="295"/>
      <c r="G75" s="295"/>
      <c r="H75" s="288"/>
      <c r="I75" s="292"/>
      <c r="J75" s="292"/>
      <c r="K75" s="292"/>
      <c r="L75" s="291"/>
      <c r="AA75"/>
      <c r="AB75"/>
      <c r="AW75" s="1"/>
      <c r="BG75" s="1"/>
      <c r="BS75"/>
      <c r="BT75"/>
      <c r="CN75" s="1"/>
      <c r="CX75" s="1"/>
      <c r="DG75" s="138"/>
    </row>
    <row r="76" spans="1:111" hidden="1">
      <c r="A76" s="295" t="s">
        <v>109</v>
      </c>
      <c r="B76" s="295"/>
      <c r="C76" s="295"/>
      <c r="D76" s="295">
        <f>COUNTIF([0]!November1,"Feriedag")</f>
        <v>0</v>
      </c>
      <c r="E76" s="295"/>
      <c r="F76" s="295"/>
      <c r="G76" s="295"/>
      <c r="H76" s="288"/>
      <c r="I76" s="292"/>
      <c r="J76" s="292"/>
      <c r="K76" s="292"/>
      <c r="L76" s="291"/>
      <c r="AA76"/>
      <c r="AB76"/>
      <c r="AW76" s="1"/>
      <c r="BG76" s="1"/>
      <c r="BS76"/>
      <c r="BT76"/>
      <c r="CN76" s="1"/>
      <c r="CX76" s="1"/>
      <c r="DG76" s="138"/>
    </row>
    <row r="77" spans="1:111" hidden="1">
      <c r="A77" s="295" t="s">
        <v>78</v>
      </c>
      <c r="B77" s="295"/>
      <c r="C77" s="295"/>
      <c r="D77" s="295">
        <f>COUNTIF([0]!November1,"Nul-dag")</f>
        <v>0</v>
      </c>
      <c r="E77" s="299"/>
      <c r="F77" s="295"/>
      <c r="G77" s="295"/>
      <c r="H77" s="288"/>
      <c r="I77" s="292"/>
      <c r="J77" s="292"/>
      <c r="K77" s="292"/>
      <c r="L77" s="291"/>
      <c r="AA77"/>
      <c r="AB77"/>
      <c r="AW77" s="1"/>
      <c r="BG77" s="1"/>
      <c r="BS77"/>
      <c r="BT77"/>
      <c r="CN77" s="1"/>
      <c r="CX77" s="1"/>
      <c r="DG77" s="138"/>
    </row>
    <row r="78" spans="1:111" hidden="1">
      <c r="A78" s="295" t="s">
        <v>176</v>
      </c>
      <c r="B78" s="295"/>
      <c r="C78" s="295"/>
      <c r="D78" s="295">
        <f>COUNTIF([0]!November1,"Orlov")</f>
        <v>0</v>
      </c>
      <c r="E78" s="295"/>
      <c r="F78" s="295"/>
      <c r="G78" s="295"/>
      <c r="H78" s="288"/>
      <c r="I78" s="288"/>
      <c r="J78" s="292"/>
      <c r="K78" s="292"/>
      <c r="L78" s="291"/>
      <c r="AA78"/>
      <c r="AB78"/>
      <c r="AW78" s="1"/>
      <c r="BG78" s="1"/>
      <c r="BS78"/>
      <c r="BT78"/>
      <c r="CN78" s="1"/>
      <c r="CX78" s="1"/>
      <c r="DG78" s="138"/>
    </row>
    <row r="79" spans="1:111" hidden="1">
      <c r="A79" s="295" t="s">
        <v>98</v>
      </c>
      <c r="B79" s="295"/>
      <c r="C79" s="295"/>
      <c r="D79" s="295">
        <f>COUNTIF([0]!November1,"Ikke relevant")</f>
        <v>0</v>
      </c>
      <c r="E79" s="295"/>
      <c r="F79" s="295"/>
      <c r="G79" s="295"/>
      <c r="H79" s="288"/>
      <c r="I79" s="288"/>
      <c r="J79" s="291"/>
      <c r="K79" s="291"/>
      <c r="L79" s="291"/>
      <c r="AA79"/>
      <c r="AB79"/>
      <c r="AW79" s="1"/>
      <c r="BG79" s="1"/>
      <c r="BS79"/>
      <c r="BT79"/>
      <c r="CN79" s="1"/>
      <c r="CX79" s="1"/>
      <c r="DG79" s="138"/>
    </row>
    <row r="80" spans="1:111" hidden="1">
      <c r="A80" s="295" t="s">
        <v>77</v>
      </c>
      <c r="B80" s="295"/>
      <c r="C80" s="295"/>
      <c r="D80" s="295">
        <f>COUNTIF([0]!November1,"Weekend")</f>
        <v>10</v>
      </c>
      <c r="E80" s="295"/>
      <c r="F80" s="295"/>
      <c r="G80" s="295"/>
      <c r="H80" s="288"/>
      <c r="I80" s="288"/>
      <c r="J80" s="291"/>
      <c r="K80" s="291"/>
      <c r="L80" s="291"/>
      <c r="AA80"/>
      <c r="AB80"/>
      <c r="AW80" s="1"/>
      <c r="BG80" s="1"/>
      <c r="BS80"/>
      <c r="BT80"/>
      <c r="CN80" s="1"/>
      <c r="CX80" s="1"/>
      <c r="DG80" s="138"/>
    </row>
    <row r="81" spans="1:114" hidden="1">
      <c r="A81" s="293" t="s">
        <v>76</v>
      </c>
      <c r="B81" s="295"/>
      <c r="C81" s="295"/>
      <c r="D81" s="295">
        <f>COUNTIF([0]!November1,"SH-dag")</f>
        <v>0</v>
      </c>
      <c r="E81" s="295"/>
      <c r="F81" s="295"/>
      <c r="G81" s="295"/>
      <c r="H81" s="288"/>
      <c r="I81" s="288"/>
      <c r="J81" s="291"/>
      <c r="K81" s="291"/>
      <c r="L81" s="291"/>
      <c r="AA81"/>
      <c r="AB81"/>
      <c r="AW81" s="1">
        <f>SUM(P81:AV81)</f>
        <v>0</v>
      </c>
      <c r="BG81" s="1">
        <f>SUM(Z87:BF87)</f>
        <v>0</v>
      </c>
      <c r="BS81"/>
      <c r="BT81"/>
      <c r="CN81" s="1">
        <f>SUM(AV81:CM81)</f>
        <v>0</v>
      </c>
      <c r="CX81" s="1"/>
      <c r="DG81" s="138"/>
    </row>
    <row r="82" spans="1:114" hidden="1">
      <c r="A82" s="295" t="s">
        <v>73</v>
      </c>
      <c r="B82" s="295"/>
      <c r="C82" s="295"/>
      <c r="D82" s="295">
        <f>SUM(D59:D81)</f>
        <v>30</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122</v>
      </c>
      <c r="B83" s="295"/>
      <c r="C83" s="295"/>
      <c r="D83" s="295">
        <f>D82-D76-A92-D80-D81</f>
        <v>20</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c r="B84" s="295"/>
      <c r="C84" s="295"/>
      <c r="D84" s="295"/>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33"/>
      <c r="AA85"/>
      <c r="AB85"/>
      <c r="BS85"/>
      <c r="BT85"/>
      <c r="CX85" s="1">
        <f>SUM(BQ90:CW90)</f>
        <v>0</v>
      </c>
      <c r="DG85" s="138"/>
    </row>
    <row r="86" spans="1:114" hidden="1">
      <c r="A86" s="295" t="s">
        <v>138</v>
      </c>
      <c r="B86" s="295"/>
      <c r="C86" s="295"/>
      <c r="D86" s="295"/>
      <c r="E86" s="295"/>
      <c r="F86" s="295"/>
      <c r="G86" s="295"/>
      <c r="H86" s="291"/>
      <c r="I86" s="288"/>
      <c r="J86" s="291"/>
      <c r="K86" s="291"/>
      <c r="L86" s="33"/>
      <c r="AA86"/>
      <c r="AB86"/>
      <c r="BS86"/>
      <c r="BT86"/>
      <c r="DG86" s="138"/>
    </row>
    <row r="87" spans="1:114" hidden="1">
      <c r="A87" s="295">
        <f>COUNTIF(C15:C16,"Normal uge 1")+COUNTIF(C15:C16,"Normal uge 2")+COUNTIF(C15:C16,"Normal uge 3")+COUNTIF(C15:C16,"Normal uge 4")+COUNTIF(C15:C16,"Anderledes dag")+COUNTIF(C15:C16,"Feriepasningsdag")+COUNTIF(C15:C16,"Koloni")+COUNTIF(C15:C16,"Ekskursion")+COUNTIF(C15:C16,"Pæd.dag")</f>
        <v>0</v>
      </c>
      <c r="B87" s="295"/>
      <c r="C87" s="295"/>
      <c r="D87" s="295"/>
      <c r="E87" s="295"/>
      <c r="F87" s="295"/>
      <c r="G87" s="295"/>
      <c r="H87" s="291"/>
      <c r="I87" s="291"/>
      <c r="J87" s="291"/>
      <c r="K87" s="291"/>
      <c r="L87" s="33"/>
      <c r="AA87"/>
      <c r="AB87"/>
      <c r="BS87"/>
      <c r="BT87"/>
      <c r="DG87" s="138"/>
    </row>
    <row r="88" spans="1:114" hidden="1">
      <c r="A88" s="295">
        <f>COUNTIF(C22:C23,"Normal uge 1")+COUNTIF(C22:C23,"Normal uge 2")+COUNTIF(C22:C23,"Normal uge 3")+COUNTIF(C22:C23,"Normal uge 4")+COUNTIF(C22:C23,"Anderledes dag")+COUNTIF(C22:C23,"Feriepasningsdag")+COUNTIF(C22:C23,"Pæd.dag")+COUNTIF(C22:C23,"Ekskursion")+COUNTIF(C22:C23,"Koloni")</f>
        <v>0</v>
      </c>
      <c r="B88" s="295"/>
      <c r="C88" s="295"/>
      <c r="D88" s="295"/>
      <c r="E88" s="295"/>
      <c r="F88" s="295"/>
      <c r="G88" s="295"/>
      <c r="H88" s="291"/>
      <c r="I88" s="33"/>
      <c r="J88" s="291"/>
      <c r="K88" s="291"/>
      <c r="L88" s="33"/>
      <c r="AA88"/>
      <c r="AB88"/>
      <c r="BS88"/>
      <c r="BT88"/>
      <c r="DG88" s="138"/>
    </row>
    <row r="89" spans="1:114" hidden="1">
      <c r="A89" s="295">
        <f>COUNTIF(C29:C30,"Normal uge 1")+COUNTIF(C29:C30,"Normal uge 2")+COUNTIF(C29:C30,"Normal uge 3")+COUNTIF(C29:C30,"Normal uge 4")+COUNTIF(C29:C30,"Anderledes dag")+COUNTIF(C29:C30,"Feriepasningsdag")+COUNTIF(C29:C30,"Pæd.dag")+COUNTIF(C29:C30,"Ekskursion")+COUNTIF(C29:C30,"Koloni")</f>
        <v>0</v>
      </c>
      <c r="B89" s="295"/>
      <c r="C89" s="295"/>
      <c r="D89" s="295"/>
      <c r="E89" s="288"/>
      <c r="F89" s="288"/>
      <c r="G89" s="288"/>
      <c r="H89" s="291"/>
      <c r="I89" s="33"/>
      <c r="J89" s="33"/>
      <c r="K89" s="33"/>
      <c r="L89" s="33"/>
      <c r="AA89"/>
      <c r="AB89"/>
      <c r="BS89"/>
      <c r="BT89"/>
      <c r="DG89" s="138"/>
    </row>
    <row r="90" spans="1:114" hidden="1">
      <c r="A90" s="295">
        <f>COUNTIF(C36:C37,"Normal uge 1")+COUNTIF(C36:C37,"Normal uge 2")+COUNTIF(C36:C37,"Normal uge 3")+COUNTIF(C36:C37,"Normal uge 4")+COUNTIF(C36:C37,"Anderledes dag")+COUNTIF(C36:C37,"Feriepasningsdag")+COUNTIF(C36:C37,"Koloni")+COUNTIF(C36:C37,"Ekskursion")+COUNTIF(C36:C37,"Pæd.dag")</f>
        <v>0</v>
      </c>
      <c r="B90" s="295"/>
      <c r="C90" s="295"/>
      <c r="D90" s="295"/>
      <c r="E90" s="288"/>
      <c r="F90" s="288"/>
      <c r="G90" s="288"/>
      <c r="H90" s="291"/>
      <c r="I90" s="33"/>
      <c r="J90" s="33"/>
      <c r="K90" s="33"/>
      <c r="L90" s="33"/>
      <c r="AA90"/>
      <c r="AB90"/>
      <c r="AF90" s="4"/>
      <c r="AG90" s="4"/>
      <c r="AH90" s="4"/>
      <c r="AI90" s="4"/>
      <c r="AJ90" s="4"/>
      <c r="AK90" s="4"/>
      <c r="AL90" s="4"/>
      <c r="AM90" s="127"/>
      <c r="AN90" s="127"/>
      <c r="AO90" s="127"/>
      <c r="AP90" s="127"/>
      <c r="BS90"/>
      <c r="BT90"/>
      <c r="BW90" s="4"/>
      <c r="BX90" s="4"/>
      <c r="BY90" s="4"/>
      <c r="BZ90" s="4"/>
      <c r="CA90" s="4"/>
      <c r="CB90" s="4"/>
      <c r="CC90" s="4"/>
      <c r="CD90" s="127"/>
      <c r="CE90" s="127"/>
      <c r="CF90" s="127"/>
      <c r="CG90" s="127"/>
      <c r="DI90" s="138"/>
      <c r="DJ90" s="138"/>
    </row>
    <row r="91" spans="1:114" hidden="1">
      <c r="A91" s="295">
        <f>COUNTIF(C43:C44,"Normal uge 1")+COUNTIF(C43:C44,"Normal uge 2")+COUNTIF(C43:C44,"Normal uge 3")+COUNTIF(C43:C44,"Normal uge 4")+COUNTIF(C43:C44,"Anderledes dag")+COUNTIF(C43:C44,"Feriepasningsdag")+COUNTIF(C43:C44,"Koloni")+COUNTIF(C43:C44,"Ekskursion")+COUNTIF(C43:C44,"Pæd.dag")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f>SUM(A87:A91)</f>
        <v>0</v>
      </c>
      <c r="B92" s="295"/>
      <c r="C92" s="295"/>
      <c r="D92" s="295"/>
      <c r="E92" s="68"/>
      <c r="F92" s="68"/>
      <c r="G92" s="68"/>
      <c r="H92" s="33"/>
      <c r="I92" s="33"/>
      <c r="J92" s="33"/>
      <c r="K92" s="33"/>
      <c r="L92" s="33"/>
    </row>
    <row r="93" spans="1:114" hidden="1">
      <c r="A93" s="300"/>
      <c r="B93" s="300"/>
      <c r="C93" s="300"/>
      <c r="D93" s="300"/>
      <c r="E93" s="68"/>
      <c r="F93" s="68"/>
      <c r="G93" s="68"/>
      <c r="H93" s="33"/>
      <c r="I93" s="33"/>
      <c r="J93" s="33"/>
      <c r="K93" s="33"/>
      <c r="L93" s="33"/>
    </row>
    <row r="94" spans="1:114" hidden="1">
      <c r="A94" s="33"/>
      <c r="B94" s="33"/>
      <c r="C94" s="33"/>
      <c r="D94" s="33"/>
      <c r="E94" s="260"/>
      <c r="F94" s="260"/>
      <c r="G94" s="260"/>
      <c r="H94" s="260"/>
      <c r="I94" s="260"/>
      <c r="J94" s="260"/>
      <c r="K94" s="260"/>
      <c r="L94" s="260"/>
    </row>
    <row r="95" spans="1:114" hidden="1">
      <c r="A95" s="33"/>
      <c r="B95" s="33"/>
      <c r="C95" s="33"/>
      <c r="D95" s="33"/>
      <c r="E95" s="260"/>
      <c r="F95" s="260"/>
      <c r="G95" s="260"/>
      <c r="H95" s="260"/>
      <c r="I95" s="260"/>
      <c r="J95" s="260"/>
      <c r="K95" s="260"/>
      <c r="L95" s="260"/>
    </row>
    <row r="96" spans="1:114" hidden="1">
      <c r="A96" s="260"/>
      <c r="B96" s="260"/>
      <c r="C96" s="260"/>
      <c r="D96" s="260"/>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hidden="1">
      <c r="A116" s="260"/>
      <c r="B116" s="260"/>
      <c r="C116" s="260"/>
      <c r="D116" s="260"/>
      <c r="E116" s="260"/>
      <c r="F116" s="260"/>
      <c r="G116" s="260"/>
      <c r="H116" s="260"/>
      <c r="I116" s="260"/>
      <c r="J116" s="260"/>
      <c r="K116" s="260"/>
      <c r="L116" s="260"/>
    </row>
    <row r="117" spans="1:12" hidden="1">
      <c r="A117" s="260"/>
      <c r="B117" s="260"/>
      <c r="C117" s="260"/>
      <c r="D117" s="260"/>
      <c r="E117" s="260"/>
      <c r="F117" s="260"/>
      <c r="G117" s="260"/>
      <c r="H117" s="260"/>
      <c r="I117" s="260"/>
      <c r="J117" s="260"/>
      <c r="K117" s="260"/>
      <c r="L117" s="260"/>
    </row>
    <row r="118" spans="1:12" hidden="1">
      <c r="A118" s="260"/>
      <c r="B118" s="260"/>
      <c r="C118" s="260"/>
      <c r="D118" s="260"/>
      <c r="E118" s="260"/>
      <c r="F118" s="260"/>
      <c r="G118" s="260"/>
      <c r="H118" s="260"/>
      <c r="I118" s="260"/>
      <c r="J118" s="260"/>
      <c r="K118" s="260"/>
      <c r="L118" s="260"/>
    </row>
    <row r="119" spans="1:12" hidden="1">
      <c r="A119" s="260"/>
      <c r="B119" s="260"/>
      <c r="C119" s="260"/>
      <c r="D119" s="260"/>
      <c r="E119" s="260"/>
      <c r="F119" s="260"/>
      <c r="G119" s="260"/>
      <c r="H119" s="260"/>
      <c r="I119" s="260"/>
      <c r="J119" s="260"/>
      <c r="K119" s="260"/>
    </row>
    <row r="120" spans="1:12" hidden="1">
      <c r="A120" s="260"/>
      <c r="B120" s="260"/>
      <c r="C120" s="260"/>
      <c r="D120" s="260"/>
      <c r="E120" s="260"/>
      <c r="F120" s="260"/>
      <c r="G120" s="260"/>
      <c r="H120" s="260"/>
      <c r="I120" s="260"/>
      <c r="J120" s="260"/>
      <c r="K120" s="260"/>
    </row>
    <row r="121" spans="1:12">
      <c r="A121" s="260"/>
      <c r="B121" s="260"/>
      <c r="C121" s="260"/>
      <c r="D121" s="260"/>
      <c r="I121" s="260"/>
      <c r="J121" s="260"/>
      <c r="K121" s="260"/>
    </row>
    <row r="122" spans="1:12">
      <c r="A122" s="260"/>
      <c r="B122" s="260"/>
      <c r="C122" s="260"/>
      <c r="D122" s="260"/>
      <c r="J122" s="260"/>
      <c r="K122" s="260"/>
    </row>
    <row r="123" spans="1:12">
      <c r="A123" s="260"/>
      <c r="B123" s="260"/>
      <c r="C123" s="260"/>
      <c r="D123" s="260"/>
    </row>
    <row r="124" spans="1:12">
      <c r="A124" s="260"/>
      <c r="B124" s="260"/>
      <c r="C124" s="260"/>
      <c r="D124" s="260"/>
    </row>
    <row r="125" spans="1:12">
      <c r="A125" s="260"/>
      <c r="B125" s="260"/>
      <c r="C125" s="260"/>
      <c r="D125" s="260"/>
    </row>
    <row r="126" spans="1:12">
      <c r="A126" s="260"/>
      <c r="B126" s="260"/>
      <c r="C126" s="260"/>
      <c r="D126" s="260"/>
    </row>
  </sheetData>
  <sheetProtection sheet="1" objects="1" scenarios="1"/>
  <mergeCells count="115">
    <mergeCell ref="A62:C62"/>
    <mergeCell ref="I54:J54"/>
    <mergeCell ref="N52:S52"/>
    <mergeCell ref="A55:H55"/>
    <mergeCell ref="I55:J55"/>
    <mergeCell ref="I56:J56"/>
    <mergeCell ref="L56:S56"/>
    <mergeCell ref="A60:C60"/>
    <mergeCell ref="A52:G52"/>
    <mergeCell ref="I52:J52"/>
    <mergeCell ref="A53:H53"/>
    <mergeCell ref="I53:J53"/>
    <mergeCell ref="N54:S54"/>
    <mergeCell ref="N55:S55"/>
    <mergeCell ref="N53:S53"/>
    <mergeCell ref="A61:C61"/>
    <mergeCell ref="I49:J49"/>
    <mergeCell ref="N11:O11"/>
    <mergeCell ref="N12:O12"/>
    <mergeCell ref="N14:O14"/>
    <mergeCell ref="A11:M11"/>
    <mergeCell ref="E40:G40"/>
    <mergeCell ref="E41:G41"/>
    <mergeCell ref="E42:G42"/>
    <mergeCell ref="E43:G43"/>
    <mergeCell ref="L47:S48"/>
    <mergeCell ref="A48:G48"/>
    <mergeCell ref="I48:J48"/>
    <mergeCell ref="E44:G44"/>
    <mergeCell ref="P11:U11"/>
    <mergeCell ref="I50:J50"/>
    <mergeCell ref="A51:G51"/>
    <mergeCell ref="I51:J51"/>
    <mergeCell ref="L50:U50"/>
    <mergeCell ref="T51:U51"/>
    <mergeCell ref="E34:G34"/>
    <mergeCell ref="E35:G35"/>
    <mergeCell ref="E36:G36"/>
    <mergeCell ref="E37:G37"/>
    <mergeCell ref="A50:G50"/>
    <mergeCell ref="A49:G49"/>
    <mergeCell ref="E39:G39"/>
    <mergeCell ref="E38:G38"/>
    <mergeCell ref="N51:S51"/>
    <mergeCell ref="E24:G24"/>
    <mergeCell ref="E25:G25"/>
    <mergeCell ref="E29:G29"/>
    <mergeCell ref="E30:G30"/>
    <mergeCell ref="E31:G31"/>
    <mergeCell ref="E32:G32"/>
    <mergeCell ref="E33:G33"/>
    <mergeCell ref="A47:G47"/>
    <mergeCell ref="I47:J47"/>
    <mergeCell ref="CA12:CT12"/>
    <mergeCell ref="A13:D14"/>
    <mergeCell ref="H13:H14"/>
    <mergeCell ref="I14:M14"/>
    <mergeCell ref="P14:R14"/>
    <mergeCell ref="S14:U14"/>
    <mergeCell ref="X12:AI12"/>
    <mergeCell ref="AJ12:AN12"/>
    <mergeCell ref="AO12:AS12"/>
    <mergeCell ref="AT12:AX12"/>
    <mergeCell ref="AY12:BC12"/>
    <mergeCell ref="BP12:BZ12"/>
    <mergeCell ref="E12:G14"/>
    <mergeCell ref="I12:J12"/>
    <mergeCell ref="BD12:BH12"/>
    <mergeCell ref="BI12:BM12"/>
    <mergeCell ref="CU12:CY12"/>
    <mergeCell ref="CZ12:DD12"/>
    <mergeCell ref="K12:K13"/>
    <mergeCell ref="L12:L13"/>
    <mergeCell ref="M12:M13"/>
    <mergeCell ref="P12:U12"/>
    <mergeCell ref="A2:D3"/>
    <mergeCell ref="A9:U9"/>
    <mergeCell ref="A10:D10"/>
    <mergeCell ref="E10:G10"/>
    <mergeCell ref="I10:J10"/>
    <mergeCell ref="K10:L10"/>
    <mergeCell ref="E2:Q3"/>
    <mergeCell ref="N10:O10"/>
    <mergeCell ref="A5:B5"/>
    <mergeCell ref="C5:D5"/>
    <mergeCell ref="E5:F5"/>
    <mergeCell ref="G5:H5"/>
    <mergeCell ref="A6:B6"/>
    <mergeCell ref="C6:D6"/>
    <mergeCell ref="E6:F6"/>
    <mergeCell ref="G6:H6"/>
    <mergeCell ref="I5:J5"/>
    <mergeCell ref="H61:I61"/>
    <mergeCell ref="H62:I62"/>
    <mergeCell ref="A4:H4"/>
    <mergeCell ref="A7:B7"/>
    <mergeCell ref="C7:D7"/>
    <mergeCell ref="E7:F7"/>
    <mergeCell ref="G7:H7"/>
    <mergeCell ref="A8:B8"/>
    <mergeCell ref="C8:D8"/>
    <mergeCell ref="E8:F8"/>
    <mergeCell ref="G8:H8"/>
    <mergeCell ref="E27:G27"/>
    <mergeCell ref="E28:G28"/>
    <mergeCell ref="E26:G26"/>
    <mergeCell ref="E15:G15"/>
    <mergeCell ref="E16:G16"/>
    <mergeCell ref="E17:G17"/>
    <mergeCell ref="E18:G18"/>
    <mergeCell ref="E19:G19"/>
    <mergeCell ref="E20:G20"/>
    <mergeCell ref="E21:G21"/>
    <mergeCell ref="E22:G22"/>
    <mergeCell ref="E23:G23"/>
  </mergeCells>
  <phoneticPr fontId="4" type="noConversion"/>
  <conditionalFormatting sqref="A15:H15 D16:H37 A16:C44 D38:E38 H38 D39:H44">
    <cfRule type="expression" dxfId="1307" priority="27">
      <formula>OR($C15="Orlov")</formula>
    </cfRule>
    <cfRule type="expression" dxfId="1306" priority="2" stopIfTrue="1">
      <formula>OR($C15="Normal uge 6")</formula>
    </cfRule>
    <cfRule type="expression" dxfId="1305" priority="3">
      <formula>OR($C15="Normal uge 5")</formula>
    </cfRule>
    <cfRule type="expression" dxfId="1304" priority="41" stopIfTrue="1">
      <formula>OR($C15="Rul 2")</formula>
    </cfRule>
    <cfRule type="expression" dxfId="1303" priority="40">
      <formula>OR($C15="weekend")</formula>
    </cfRule>
    <cfRule type="expression" dxfId="1302" priority="39">
      <formula>OR($C15="feriedag")</formula>
    </cfRule>
    <cfRule type="expression" dxfId="1301" priority="38">
      <formula>OR($C15="Ferieåbning")</formula>
    </cfRule>
    <cfRule type="expression" dxfId="1300" priority="37">
      <formula>OR($C15="Anderledes dag")</formula>
    </cfRule>
    <cfRule type="expression" dxfId="1299" priority="36">
      <formula>OR($C15="Koloni")</formula>
    </cfRule>
    <cfRule type="expression" dxfId="1298" priority="35">
      <formula>OR($C15="ekskursion")</formula>
    </cfRule>
    <cfRule type="expression" dxfId="1297" priority="34">
      <formula>OR($C15="SH-dag")</formula>
    </cfRule>
    <cfRule type="expression" dxfId="1296" priority="33">
      <formula>OR($C15="nul-dag")</formula>
    </cfRule>
    <cfRule type="expression" dxfId="1295" priority="16" stopIfTrue="1">
      <formula>OR($C15="Rul 6")</formula>
    </cfRule>
    <cfRule type="expression" dxfId="1294" priority="17" stopIfTrue="1">
      <formula>OR($C15="Rul 5")</formula>
    </cfRule>
    <cfRule type="expression" dxfId="1293" priority="18" stopIfTrue="1">
      <formula>OR($C15="Rul 4")</formula>
    </cfRule>
    <cfRule type="expression" dxfId="1292" priority="19" stopIfTrue="1">
      <formula>OR($C15="Rul 3")</formula>
    </cfRule>
    <cfRule type="expression" dxfId="1291" priority="20" stopIfTrue="1">
      <formula>OR($C15="Rul 1")</formula>
    </cfRule>
    <cfRule type="expression" dxfId="1290" priority="21">
      <formula>OR($C15="Normal uge 1")</formula>
    </cfRule>
    <cfRule type="expression" dxfId="1289" priority="32">
      <formula>OR($C15="pæd.dag")</formula>
    </cfRule>
    <cfRule type="expression" dxfId="1288" priority="31">
      <formula>OR($C15="Ikke relevant")</formula>
    </cfRule>
    <cfRule type="expression" dxfId="1287" priority="30">
      <formula>OR($C15="Normal uge 4")</formula>
    </cfRule>
    <cfRule type="expression" dxfId="1286" priority="29">
      <formula>OR($C15="Normal uge 3")</formula>
    </cfRule>
    <cfRule type="expression" dxfId="1285" priority="28">
      <formula>OR($C15="Normal uge 2")</formula>
    </cfRule>
  </conditionalFormatting>
  <conditionalFormatting sqref="E26">
    <cfRule type="expression" dxfId="1284" priority="52">
      <formula>OR($D25="Ikke relevant")</formula>
    </cfRule>
    <cfRule type="expression" dxfId="1283" priority="42">
      <formula>OR($D25="pæd.dag")</formula>
    </cfRule>
    <cfRule type="expression" dxfId="1282" priority="50">
      <formula>OR($D25="weekend")</formula>
    </cfRule>
    <cfRule type="expression" dxfId="1281" priority="49">
      <formula>OR($D25="feriedag")</formula>
    </cfRule>
    <cfRule type="expression" dxfId="1280" priority="48">
      <formula>OR($D25="fagdag")</formula>
    </cfRule>
    <cfRule type="expression" dxfId="1279" priority="47">
      <formula>OR($D25="emnedag")</formula>
    </cfRule>
    <cfRule type="expression" dxfId="1278" priority="46">
      <formula>OR($D25="lejrskole")</formula>
    </cfRule>
    <cfRule type="expression" dxfId="1277" priority="45">
      <formula>OR($D25="ekskursion")</formula>
    </cfRule>
    <cfRule type="expression" dxfId="1276" priority="44">
      <formula>OR($D25="SH-dag")</formula>
    </cfRule>
    <cfRule type="expression" dxfId="1275" priority="51" stopIfTrue="1">
      <formula>OR($D25="skoledag")</formula>
    </cfRule>
    <cfRule type="expression" dxfId="1274" priority="43">
      <formula>OR($D25="nul-dag")</formula>
    </cfRule>
  </conditionalFormatting>
  <conditionalFormatting sqref="I15:J44">
    <cfRule type="expression" dxfId="1273" priority="25">
      <formula>OR($C15="Koloni",)</formula>
    </cfRule>
    <cfRule type="expression" dxfId="1272" priority="15" stopIfTrue="1">
      <formula>OR($C15="Ferieåbning",)</formula>
    </cfRule>
    <cfRule type="expression" dxfId="1271" priority="14">
      <formula>OR($C15="Anderledes dag",)</formula>
    </cfRule>
    <cfRule type="expression" dxfId="1270" priority="13">
      <formula>OR($C15="Ekskursion",)</formula>
    </cfRule>
  </conditionalFormatting>
  <conditionalFormatting sqref="J15:J44">
    <cfRule type="expression" dxfId="1269" priority="26">
      <formula>OR($C15="Pæd.dag",)</formula>
    </cfRule>
  </conditionalFormatting>
  <conditionalFormatting sqref="M15:M44">
    <cfRule type="expression" dxfId="1268" priority="53">
      <formula>OR($H15&gt;"0",)</formula>
    </cfRule>
  </conditionalFormatting>
  <conditionalFormatting sqref="O15:O44">
    <cfRule type="expression" dxfId="1266" priority="8">
      <formula>OR($N15&gt;0,)</formula>
    </cfRule>
  </conditionalFormatting>
  <conditionalFormatting sqref="S15:S44">
    <cfRule type="expression" dxfId="1265" priority="24">
      <formula>OR($P15="X",)</formula>
    </cfRule>
  </conditionalFormatting>
  <conditionalFormatting sqref="T15:T44">
    <cfRule type="expression" dxfId="1264" priority="23">
      <formula>OR($Q15="X",)</formula>
    </cfRule>
  </conditionalFormatting>
  <conditionalFormatting sqref="T52:T55">
    <cfRule type="expression" dxfId="1263" priority="5">
      <formula>OR($L52&gt;0,)</formula>
    </cfRule>
  </conditionalFormatting>
  <conditionalFormatting sqref="U15:U44">
    <cfRule type="expression" dxfId="1262" priority="22">
      <formula>OR($R15="X",)</formula>
    </cfRule>
  </conditionalFormatting>
  <conditionalFormatting sqref="U52:U53 U55">
    <cfRule type="expression" dxfId="1261" priority="10">
      <formula>OR($M52&gt;0,)</formula>
    </cfRule>
  </conditionalFormatting>
  <conditionalFormatting sqref="U54:W54">
    <cfRule type="expression" dxfId="1260" priority="6">
      <formula>OR($M54&gt;0,)</formula>
    </cfRule>
  </conditionalFormatting>
  <conditionalFormatting sqref="BN55:BN57">
    <cfRule type="expression" dxfId="1259" priority="1">
      <formula>OR(#REF!&gt;0,)</formula>
    </cfRule>
  </conditionalFormatting>
  <conditionalFormatting sqref="BP54">
    <cfRule type="expression" dxfId="1258" priority="7">
      <formula>OR(#REF!&gt;0,)</formula>
    </cfRule>
  </conditionalFormatting>
  <conditionalFormatting sqref="BR57">
    <cfRule type="expression" dxfId="1257" priority="54">
      <formula>OR(#REF!&gt;0,)</formula>
    </cfRule>
  </conditionalFormatting>
  <dataValidations count="3">
    <dataValidation type="list" allowBlank="1" showInputMessage="1" showErrorMessage="1" sqref="R15:R43 P15:Q44 L52:M53 L55:M55" xr:uid="{79AAB033-2A00-D942-86E8-B99D9944CA08}">
      <formula1>$Y$1:$Y$2</formula1>
    </dataValidation>
    <dataValidation type="list" allowBlank="1" showInputMessage="1" sqref="C15:C44" xr:uid="{63098B61-FABE-2C40-86D7-A7CB6B3BEE1F}">
      <formula1>$A$59:$A$81</formula1>
    </dataValidation>
    <dataValidation type="list" allowBlank="1" showInputMessage="1" showErrorMessage="1" sqref="L54:M54" xr:uid="{0DCA6030-878C-0241-B068-6BF993C60D99}">
      <formula1>$AA$1:$AA$2</formula1>
    </dataValidation>
  </dataValidations>
  <hyperlinks>
    <hyperlink ref="A5:B5" location="'Normal uger'!A11" display="Normale uger" xr:uid="{868A6B5D-9611-A848-9BE0-C58B243DF2A3}"/>
    <hyperlink ref="C5:D5" location="Rul!B20" display="Rul" xr:uid="{02B10A07-D7BA-0A40-9053-4FCE9DCB574B}"/>
    <hyperlink ref="E5:F5" location="Arbejdstidsoversigt!A19" display="Arbejdstids-oversigt" xr:uid="{DCB14966-6EC8-354C-9F2B-90E1964EC37C}"/>
    <hyperlink ref="G5:H5" location="Opgørelse!B12" display="Opgørelse" xr:uid="{6D64B75E-4AC7-F34B-BC7A-747ADB9A0ED2}"/>
    <hyperlink ref="A6:B6" location="August!A12" display="August" xr:uid="{FE4BAE94-7508-1644-8592-A4C09008D20E}"/>
    <hyperlink ref="C6:D6" location="September!A8" display="September" xr:uid="{28C0757B-1894-634A-B026-44C9D5E95A14}"/>
    <hyperlink ref="E6:F6" location="Oktober!A8" display="Oktober" xr:uid="{794AF8C1-7D2D-7F48-8DDE-6AD6567A3AD3}"/>
    <hyperlink ref="G6:H6" location="November!A8" display="November" xr:uid="{07CE9C5C-54A6-264C-8016-13EEDAC6011A}"/>
    <hyperlink ref="A7:B7" location="December!A8" display="December" xr:uid="{524C1668-31D0-E14E-9709-CCF7B89AA403}"/>
    <hyperlink ref="C7:D7" location="Januar!A8" display="Januar" xr:uid="{C47B3CE3-C49C-A149-AB04-81B6D196BC43}"/>
    <hyperlink ref="E7:F7" location="Februar!A8" display="Februar" xr:uid="{9CC4B077-BB9B-7B41-A70D-4D8E8C487D17}"/>
    <hyperlink ref="A8:B8" location="April!A8" display="April" xr:uid="{EF54D0F5-9F30-9B42-AFCD-80808AC1EC31}"/>
    <hyperlink ref="C8:D8" location="Maj!A8" display="Maj" xr:uid="{F9E94FAF-64E0-DA4D-AD22-88C2A97C3A2C}"/>
    <hyperlink ref="E8:F8" location="Juni!A8" display="Juni" xr:uid="{E8C070C9-961D-F043-A24C-5FA9B523DED0}"/>
    <hyperlink ref="G8:H8" location="Juli!A8" display="Juli" xr:uid="{8F9711C5-1D0B-1B47-9F5A-513CE01AF0B1}"/>
    <hyperlink ref="G7:H7" location="Marts!A8" display="Marts" xr:uid="{39F983C8-776F-4449-8F8A-4E5BEF4947A2}"/>
    <hyperlink ref="I5:J5" location="Stamoplysninger!E18" display="Stamoplysninger" xr:uid="{865CC3F9-E7A9-864B-B8A1-E685AD971C89}"/>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E87B3052-242D-3B41-8D7E-DDC81441B614}">
            <xm:f>OR(Arbejdstidsoversigt!$H$54="Puljetimer registreres ikke men afvikles jævnt hen over normperioden",)</xm:f>
            <x14:dxf>
              <fill>
                <patternFill>
                  <bgColor theme="1"/>
                </patternFill>
              </fill>
            </x14:dxf>
          </x14:cfRule>
          <xm:sqref>N15:N44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6281-AB09-884B-A66D-3682B108D4BD}">
  <sheetPr>
    <tabColor theme="4" tint="-0.249977111117893"/>
    <pageSetUpPr fitToPage="1"/>
  </sheetPr>
  <dimension ref="A1:DN124"/>
  <sheetViews>
    <sheetView topLeftCell="A14" zoomScaleNormal="100" workbookViewId="0">
      <selection activeCell="M30" sqref="M30"/>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8" width="10.83203125" hidden="1" customWidth="1"/>
    <col min="119" max="120" width="10.83203125" customWidth="1"/>
    <col min="121" max="121" width="31.1640625"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26" customHeight="1">
      <c r="A2" s="886">
        <v>12</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December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August!A17</f>
        <v>2025</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130</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5" si="0">CHOOSE(MOD(WEEKDAY(DATE(A$12,A$2,A15)),7)+1,"lø","sø","ma","ti","on","to","fr",)</f>
        <v>ma</v>
      </c>
      <c r="C15" s="73" t="s">
        <v>217</v>
      </c>
      <c r="D15" s="74">
        <f t="shared" ref="D15:D43" si="1">IF(B15="ma",(DATE(A$12,A$2,A15)-DATE(A$12,1,1)+7)/7,"")</f>
        <v>48.714285714285715</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5" si="2">IF(Q15="x",T15-L15,0)</f>
        <v>0</v>
      </c>
      <c r="X15" s="358">
        <f>IF($C$15="Anderledes dag",$I$15,0)</f>
        <v>0</v>
      </c>
      <c r="Y15" s="358">
        <f>IF(C15="Ferieåbning",I15,0)</f>
        <v>0</v>
      </c>
      <c r="Z15" s="358">
        <f t="shared" ref="Z15:Z45"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5" si="4">SUM(AJ15:AN15)*24</f>
        <v>0</v>
      </c>
      <c r="BP15" s="358">
        <f t="shared" ref="BP15:BP45" si="5">IF(C15="Anderledes dag",J15,0)</f>
        <v>0</v>
      </c>
      <c r="BQ15" s="358">
        <f t="shared" ref="BQ15:BQ45" si="6">IF(C15="Ferieåbning",J15,0)</f>
        <v>0</v>
      </c>
      <c r="BR15" s="358">
        <f t="shared" ref="BR15:BR45" si="7">IF(C15="Pæd.dag",J15,0)</f>
        <v>0</v>
      </c>
      <c r="BS15" s="358">
        <f t="shared" ref="BS15:BS45" si="8">IF(C15="Ekskursion",J15,0)</f>
        <v>0</v>
      </c>
      <c r="BT15" s="358">
        <f t="shared" ref="BT15:BT45"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5" si="10">IF(AND(E15&gt;0,H15&gt;0),""&amp;E15&amp;" og "&amp;H15&amp;"","")</f>
        <v/>
      </c>
      <c r="DG15">
        <f t="shared" ref="DG15:DG45" si="11">IF(H15="",E15,"")</f>
        <v>0</v>
      </c>
      <c r="DH15">
        <f t="shared" ref="DH15:DH45" si="12">IF(E15="",H15,"")</f>
        <v>0</v>
      </c>
      <c r="DI15" t="str">
        <f t="shared" ref="DI15:DK46" si="13">IF(DF15=0,"",DF15)</f>
        <v/>
      </c>
      <c r="DJ15" t="str">
        <f>IF(DG15=0,"",DG15)</f>
        <v/>
      </c>
      <c r="DK15" t="str">
        <f>IF(DH15=0,"",DH15)</f>
        <v/>
      </c>
      <c r="DL15" t="str">
        <f>DI15&amp;""&amp;DJ15&amp;""&amp;DK15</f>
        <v/>
      </c>
    </row>
    <row r="16" spans="1:116">
      <c r="A16" s="135">
        <f t="shared" ref="A16:A44" si="14">IF(ISNUMBER(A15),A15+1,1)</f>
        <v>2</v>
      </c>
      <c r="B16" s="72" t="str">
        <f t="shared" si="0"/>
        <v>ti</v>
      </c>
      <c r="C16" s="73" t="s">
        <v>217</v>
      </c>
      <c r="D16" s="74" t="str">
        <f t="shared" si="1"/>
        <v/>
      </c>
      <c r="E16" s="858"/>
      <c r="F16" s="859"/>
      <c r="G16" s="860"/>
      <c r="H16" s="175"/>
      <c r="I16" s="221"/>
      <c r="J16" s="221"/>
      <c r="K16" s="191">
        <f t="shared" ref="K16:K45" si="15">BN16</f>
        <v>0</v>
      </c>
      <c r="L16" s="191">
        <f t="shared" ref="L16:L45" si="16">DE16</f>
        <v>0</v>
      </c>
      <c r="M16" s="238"/>
      <c r="N16" s="357"/>
      <c r="O16" s="408"/>
      <c r="P16" s="195"/>
      <c r="Q16" s="196"/>
      <c r="R16" s="196"/>
      <c r="S16" s="192"/>
      <c r="T16" s="255"/>
      <c r="U16" s="193"/>
      <c r="V16">
        <f t="shared" ref="V16:V45" si="17">IF(P16="x",S16-K16,0)</f>
        <v>0</v>
      </c>
      <c r="W16">
        <f t="shared" si="2"/>
        <v>0</v>
      </c>
      <c r="X16" s="358">
        <f t="shared" ref="X16:X45" si="18">IF(C16="Anderledes dag",I16,0)</f>
        <v>0</v>
      </c>
      <c r="Y16" s="358">
        <f t="shared" ref="Y16:Y45" si="19">IF(C16="Ferieåbning",I16,0)</f>
        <v>0</v>
      </c>
      <c r="Z16" s="358">
        <f t="shared" si="3"/>
        <v>0</v>
      </c>
      <c r="AA16" s="358">
        <f t="shared" ref="AA16:AA45" si="20">IF(C16="Ekskursion",I16,0)</f>
        <v>0</v>
      </c>
      <c r="AB16" s="358">
        <f t="shared" ref="AB16:AB45"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5" si="23">SUM(BP16:DD16)</f>
        <v>0</v>
      </c>
      <c r="DF16" t="str">
        <f t="shared" si="10"/>
        <v/>
      </c>
      <c r="DG16">
        <f t="shared" si="11"/>
        <v>0</v>
      </c>
      <c r="DH16">
        <f t="shared" si="12"/>
        <v>0</v>
      </c>
      <c r="DI16" t="str">
        <f t="shared" si="13"/>
        <v/>
      </c>
      <c r="DJ16" t="str">
        <f t="shared" si="13"/>
        <v/>
      </c>
      <c r="DK16" t="str">
        <f t="shared" si="13"/>
        <v/>
      </c>
      <c r="DL16" t="str">
        <f t="shared" ref="DL16:DL45" si="24">DI16&amp;""&amp;DJ16&amp;""&amp;DK16</f>
        <v/>
      </c>
    </row>
    <row r="17" spans="1:116">
      <c r="A17" s="135">
        <f t="shared" si="14"/>
        <v>3</v>
      </c>
      <c r="B17" s="72" t="str">
        <f t="shared" si="0"/>
        <v>on</v>
      </c>
      <c r="C17" s="73" t="s">
        <v>217</v>
      </c>
      <c r="D17" s="74" t="str">
        <f t="shared" si="1"/>
        <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to</v>
      </c>
      <c r="C18" s="73" t="s">
        <v>217</v>
      </c>
      <c r="D18" s="74" t="str">
        <f t="shared" si="1"/>
        <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fr</v>
      </c>
      <c r="C19" s="73" t="s">
        <v>217</v>
      </c>
      <c r="D19" s="74" t="str">
        <f t="shared" si="1"/>
        <v/>
      </c>
      <c r="E19" s="858"/>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f t="shared" si="11"/>
        <v>0</v>
      </c>
      <c r="DH19">
        <f t="shared" si="12"/>
        <v>0</v>
      </c>
      <c r="DI19" t="str">
        <f t="shared" si="13"/>
        <v/>
      </c>
      <c r="DJ19" t="str">
        <f t="shared" si="13"/>
        <v/>
      </c>
      <c r="DK19" t="str">
        <f t="shared" si="13"/>
        <v/>
      </c>
      <c r="DL19" t="str">
        <f t="shared" si="24"/>
        <v/>
      </c>
    </row>
    <row r="20" spans="1:116" ht="16" customHeight="1">
      <c r="A20" s="135">
        <f t="shared" si="14"/>
        <v>6</v>
      </c>
      <c r="B20" s="72" t="str">
        <f t="shared" si="0"/>
        <v>lø</v>
      </c>
      <c r="C20" s="73" t="s">
        <v>77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sø</v>
      </c>
      <c r="C21" s="73" t="s">
        <v>77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ma</v>
      </c>
      <c r="C22" s="73" t="s">
        <v>217</v>
      </c>
      <c r="D22" s="74">
        <f t="shared" si="1"/>
        <v>49.714285714285715</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ti</v>
      </c>
      <c r="C23" s="73" t="s">
        <v>217</v>
      </c>
      <c r="D23" s="74" t="str">
        <f t="shared" si="1"/>
        <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on</v>
      </c>
      <c r="C24" s="73" t="s">
        <v>217</v>
      </c>
      <c r="D24" s="74" t="str">
        <f t="shared" si="1"/>
        <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to</v>
      </c>
      <c r="C25" s="73" t="s">
        <v>217</v>
      </c>
      <c r="D25" s="74" t="str">
        <f t="shared" si="1"/>
        <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fr</v>
      </c>
      <c r="C26" s="73" t="s">
        <v>217</v>
      </c>
      <c r="D26" s="74" t="str">
        <f t="shared" si="1"/>
        <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lø</v>
      </c>
      <c r="C27" s="73" t="s">
        <v>77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sø</v>
      </c>
      <c r="C28" s="73" t="s">
        <v>77</v>
      </c>
      <c r="D28" s="74" t="str">
        <f t="shared" si="1"/>
        <v/>
      </c>
      <c r="E28" s="861"/>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15</v>
      </c>
      <c r="B29" s="72" t="str">
        <f t="shared" si="0"/>
        <v>ma</v>
      </c>
      <c r="C29" s="73" t="s">
        <v>217</v>
      </c>
      <c r="D29" s="74">
        <f t="shared" si="1"/>
        <v>50.714285714285715</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ti</v>
      </c>
      <c r="C30" s="73" t="s">
        <v>217</v>
      </c>
      <c r="D30" s="74" t="str">
        <f t="shared" si="1"/>
        <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on</v>
      </c>
      <c r="C31" s="73" t="s">
        <v>217</v>
      </c>
      <c r="D31" s="74" t="str">
        <f t="shared" si="1"/>
        <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to</v>
      </c>
      <c r="C32" s="73" t="s">
        <v>217</v>
      </c>
      <c r="D32" s="74" t="str">
        <f t="shared" si="1"/>
        <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fr</v>
      </c>
      <c r="C33" s="73" t="s">
        <v>217</v>
      </c>
      <c r="D33" s="74" t="str">
        <f t="shared" si="1"/>
        <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lø</v>
      </c>
      <c r="C34" s="73" t="s">
        <v>77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sø</v>
      </c>
      <c r="C35" s="73" t="s">
        <v>77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ma</v>
      </c>
      <c r="C36" s="73" t="s">
        <v>217</v>
      </c>
      <c r="D36" s="74">
        <f t="shared" si="1"/>
        <v>51.714285714285715</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ti</v>
      </c>
      <c r="C37" s="73" t="s">
        <v>217</v>
      </c>
      <c r="D37" s="74" t="str">
        <f t="shared" si="1"/>
        <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on</v>
      </c>
      <c r="C38" s="73" t="s">
        <v>217</v>
      </c>
      <c r="D38" s="74" t="str">
        <f t="shared" si="1"/>
        <v/>
      </c>
      <c r="E38" s="861" t="s">
        <v>80</v>
      </c>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t="str">
        <f t="shared" si="11"/>
        <v>Juleaftensdag</v>
      </c>
      <c r="DH38" t="str">
        <f t="shared" si="12"/>
        <v/>
      </c>
      <c r="DI38" t="str">
        <f t="shared" si="13"/>
        <v/>
      </c>
      <c r="DJ38" t="str">
        <f t="shared" si="13"/>
        <v>Juleaftensdag</v>
      </c>
      <c r="DK38" t="str">
        <f t="shared" si="13"/>
        <v/>
      </c>
      <c r="DL38" t="str">
        <f t="shared" si="24"/>
        <v>Juleaftensdag</v>
      </c>
    </row>
    <row r="39" spans="1:116">
      <c r="A39" s="135">
        <f t="shared" si="14"/>
        <v>25</v>
      </c>
      <c r="B39" s="72" t="str">
        <f t="shared" si="0"/>
        <v>to</v>
      </c>
      <c r="C39" s="73" t="s">
        <v>76</v>
      </c>
      <c r="D39" s="74" t="str">
        <f t="shared" si="1"/>
        <v/>
      </c>
      <c r="E39" s="858" t="s">
        <v>145</v>
      </c>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t="str">
        <f t="shared" si="11"/>
        <v>Juledag</v>
      </c>
      <c r="DH39" t="str">
        <f t="shared" si="12"/>
        <v/>
      </c>
      <c r="DI39" t="str">
        <f t="shared" si="13"/>
        <v/>
      </c>
      <c r="DJ39" t="str">
        <f t="shared" si="13"/>
        <v>Juledag</v>
      </c>
      <c r="DK39" t="str">
        <f t="shared" si="13"/>
        <v/>
      </c>
      <c r="DL39" t="str">
        <f t="shared" si="24"/>
        <v>Juledag</v>
      </c>
    </row>
    <row r="40" spans="1:116">
      <c r="A40" s="135">
        <f t="shared" si="14"/>
        <v>26</v>
      </c>
      <c r="B40" s="72" t="str">
        <f t="shared" si="0"/>
        <v>fr</v>
      </c>
      <c r="C40" s="73" t="s">
        <v>76</v>
      </c>
      <c r="D40" s="74" t="str">
        <f t="shared" si="1"/>
        <v/>
      </c>
      <c r="E40" s="858" t="s">
        <v>64</v>
      </c>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t="str">
        <f t="shared" si="11"/>
        <v>2. juledag</v>
      </c>
      <c r="DH40" t="str">
        <f t="shared" si="12"/>
        <v/>
      </c>
      <c r="DI40" t="str">
        <f t="shared" si="13"/>
        <v/>
      </c>
      <c r="DJ40" t="str">
        <f t="shared" si="13"/>
        <v>2. juledag</v>
      </c>
      <c r="DK40" t="str">
        <f t="shared" si="13"/>
        <v/>
      </c>
      <c r="DL40" t="str">
        <f t="shared" si="24"/>
        <v>2. juledag</v>
      </c>
    </row>
    <row r="41" spans="1:116">
      <c r="A41" s="135">
        <f t="shared" si="14"/>
        <v>27</v>
      </c>
      <c r="B41" s="72" t="str">
        <f t="shared" si="0"/>
        <v>lø</v>
      </c>
      <c r="C41" s="73" t="s">
        <v>77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sø</v>
      </c>
      <c r="C42" s="73" t="s">
        <v>77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c r="A43" s="135">
        <f>IF(ISNUMBER(A42),A42+1,1)</f>
        <v>29</v>
      </c>
      <c r="B43" s="72" t="str">
        <f t="shared" si="0"/>
        <v>ma</v>
      </c>
      <c r="C43" s="73" t="s">
        <v>217</v>
      </c>
      <c r="D43" s="74">
        <f t="shared" si="1"/>
        <v>52.714285714285715</v>
      </c>
      <c r="E43" s="858"/>
      <c r="F43" s="859"/>
      <c r="G43" s="860"/>
      <c r="H43" s="175"/>
      <c r="I43" s="221"/>
      <c r="J43" s="221"/>
      <c r="K43" s="191">
        <f t="shared" si="15"/>
        <v>0</v>
      </c>
      <c r="L43" s="191">
        <f t="shared" si="16"/>
        <v>0</v>
      </c>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10"/>
        <v/>
      </c>
      <c r="DG43">
        <f t="shared" si="11"/>
        <v>0</v>
      </c>
      <c r="DH43">
        <f t="shared" si="12"/>
        <v>0</v>
      </c>
      <c r="DI43" t="str">
        <f t="shared" si="13"/>
        <v/>
      </c>
      <c r="DJ43" t="str">
        <f t="shared" si="13"/>
        <v/>
      </c>
      <c r="DK43" t="str">
        <f t="shared" si="13"/>
        <v/>
      </c>
      <c r="DL43" t="str">
        <f t="shared" si="24"/>
        <v/>
      </c>
    </row>
    <row r="44" spans="1:116">
      <c r="A44" s="135">
        <f t="shared" si="14"/>
        <v>30</v>
      </c>
      <c r="B44" s="72" t="str">
        <f t="shared" si="0"/>
        <v>ti</v>
      </c>
      <c r="C44" s="73" t="s">
        <v>217</v>
      </c>
      <c r="D44" s="74">
        <v>1</v>
      </c>
      <c r="E44" s="858"/>
      <c r="F44" s="859"/>
      <c r="G44" s="860"/>
      <c r="H44" s="175"/>
      <c r="I44" s="221"/>
      <c r="J44" s="221"/>
      <c r="K44" s="191">
        <f t="shared" si="15"/>
        <v>0</v>
      </c>
      <c r="L44" s="191">
        <f t="shared" si="16"/>
        <v>0</v>
      </c>
      <c r="M44" s="238"/>
      <c r="N44" s="357"/>
      <c r="O44" s="408"/>
      <c r="P44" s="195"/>
      <c r="Q44" s="196"/>
      <c r="R44" s="254"/>
      <c r="S44" s="192"/>
      <c r="T44" s="255"/>
      <c r="U44" s="193"/>
      <c r="V44">
        <f t="shared" si="17"/>
        <v>0</v>
      </c>
      <c r="W44">
        <f t="shared" si="2"/>
        <v>0</v>
      </c>
      <c r="X44" s="358">
        <f t="shared" si="18"/>
        <v>0</v>
      </c>
      <c r="Y44" s="358">
        <f t="shared" si="19"/>
        <v>0</v>
      </c>
      <c r="Z44" s="358">
        <f t="shared" si="3"/>
        <v>0</v>
      </c>
      <c r="AA44" s="358">
        <f t="shared" si="20"/>
        <v>0</v>
      </c>
      <c r="AB44" s="358">
        <f t="shared" si="21"/>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2"/>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10"/>
        <v/>
      </c>
      <c r="DG44">
        <f t="shared" si="11"/>
        <v>0</v>
      </c>
      <c r="DH44">
        <f t="shared" si="12"/>
        <v>0</v>
      </c>
      <c r="DI44" t="str">
        <f t="shared" si="13"/>
        <v/>
      </c>
      <c r="DJ44" t="str">
        <f t="shared" si="13"/>
        <v/>
      </c>
      <c r="DK44" t="str">
        <f t="shared" si="13"/>
        <v/>
      </c>
      <c r="DL44" t="str">
        <f t="shared" si="24"/>
        <v/>
      </c>
    </row>
    <row r="45" spans="1:116">
      <c r="A45" s="135">
        <f>IF(ISNUMBER(A44),A44+1,1)</f>
        <v>31</v>
      </c>
      <c r="B45" s="72" t="str">
        <f t="shared" si="0"/>
        <v>on</v>
      </c>
      <c r="C45" s="73" t="s">
        <v>217</v>
      </c>
      <c r="D45" s="74" t="str">
        <f>IF(B45="ma",(DATE(A$12,A$2,A45)-DATE(A$12,1,1)+7)/7,"")</f>
        <v/>
      </c>
      <c r="E45" s="861"/>
      <c r="F45" s="862"/>
      <c r="G45" s="863"/>
      <c r="H45" s="174"/>
      <c r="I45" s="221"/>
      <c r="J45" s="221"/>
      <c r="K45" s="191">
        <f t="shared" si="15"/>
        <v>0</v>
      </c>
      <c r="L45" s="191">
        <f t="shared" si="16"/>
        <v>0</v>
      </c>
      <c r="M45" s="238"/>
      <c r="N45" s="357"/>
      <c r="O45" s="408"/>
      <c r="P45" s="195"/>
      <c r="Q45" s="196"/>
      <c r="R45" s="118"/>
      <c r="S45" s="192"/>
      <c r="T45" s="255"/>
      <c r="U45" s="256"/>
      <c r="V45">
        <f t="shared" si="17"/>
        <v>0</v>
      </c>
      <c r="W45">
        <f t="shared" si="2"/>
        <v>0</v>
      </c>
      <c r="X45" s="358">
        <f t="shared" si="18"/>
        <v>0</v>
      </c>
      <c r="Y45" s="358">
        <f t="shared" si="19"/>
        <v>0</v>
      </c>
      <c r="Z45" s="358">
        <f t="shared" si="3"/>
        <v>0</v>
      </c>
      <c r="AA45" s="358">
        <f t="shared" si="20"/>
        <v>0</v>
      </c>
      <c r="AB45" s="358">
        <f t="shared" si="21"/>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 t="shared" ref="BN45" si="25">SUM(X45:BC45)</f>
        <v>0</v>
      </c>
      <c r="BO45" s="125">
        <f t="shared" si="4"/>
        <v>0</v>
      </c>
      <c r="BP45" s="358">
        <f t="shared" si="5"/>
        <v>0</v>
      </c>
      <c r="BQ45" s="358">
        <f t="shared" si="6"/>
        <v>0</v>
      </c>
      <c r="BR45" s="358">
        <f t="shared" si="7"/>
        <v>0</v>
      </c>
      <c r="BS45" s="358">
        <f t="shared" si="8"/>
        <v>0</v>
      </c>
      <c r="BT45" s="358">
        <f t="shared" si="9"/>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3"/>
        <v>0</v>
      </c>
      <c r="DF45" t="str">
        <f t="shared" si="10"/>
        <v/>
      </c>
      <c r="DG45">
        <f t="shared" si="11"/>
        <v>0</v>
      </c>
      <c r="DH45">
        <f t="shared" si="12"/>
        <v>0</v>
      </c>
      <c r="DI45" t="str">
        <f t="shared" si="13"/>
        <v/>
      </c>
      <c r="DJ45" t="str">
        <f t="shared" si="13"/>
        <v/>
      </c>
      <c r="DK45" t="str">
        <f t="shared" si="13"/>
        <v/>
      </c>
      <c r="DL45" t="str">
        <f t="shared" si="24"/>
        <v/>
      </c>
    </row>
    <row r="46" spans="1:116" ht="17" thickBot="1">
      <c r="A46" s="368" t="s">
        <v>127</v>
      </c>
      <c r="B46" s="369"/>
      <c r="C46" s="369"/>
      <c r="D46" s="369"/>
      <c r="E46" s="369"/>
      <c r="F46" s="369"/>
      <c r="G46" s="369"/>
      <c r="H46" s="369"/>
      <c r="I46" s="194"/>
      <c r="J46" s="194"/>
      <c r="K46" s="194">
        <f>SUM(K15:K45)</f>
        <v>0</v>
      </c>
      <c r="L46" s="194">
        <f t="shared" ref="L46" si="26">SUM(L15:L45)</f>
        <v>0</v>
      </c>
      <c r="M46"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1"/>
      <c r="O46" s="412">
        <f>SUM(O15:O45)</f>
        <v>0</v>
      </c>
      <c r="P46" s="249"/>
      <c r="Q46" s="250"/>
      <c r="R46" s="250"/>
      <c r="S46"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8">
        <f>W15+W16+W17+W18+W19+W20+W21+W22+W23+W24+W25+W26+W27+W28+W29+W30+W31+W32+W33+W34+W35+W36+W37+W38+W39+W40+W41+W42+W43+W44+W45</f>
        <v>0</v>
      </c>
      <c r="X46" s="129">
        <f t="shared" ref="X46:AC46" si="27">SUM(X15:X45)</f>
        <v>0</v>
      </c>
      <c r="Y46" s="129">
        <f t="shared" si="27"/>
        <v>0</v>
      </c>
      <c r="Z46" s="129">
        <f t="shared" si="27"/>
        <v>0</v>
      </c>
      <c r="AA46" s="129">
        <f t="shared" si="27"/>
        <v>0</v>
      </c>
      <c r="AB46" s="129">
        <f t="shared" si="27"/>
        <v>0</v>
      </c>
      <c r="AC46" s="129">
        <f t="shared" si="27"/>
        <v>0</v>
      </c>
      <c r="AD46">
        <f t="shared" ref="AD46:BM46" si="28">COUNTIF(AD15:AD45,"&gt;0")</f>
        <v>0</v>
      </c>
      <c r="AE46">
        <f t="shared" si="28"/>
        <v>0</v>
      </c>
      <c r="AF46">
        <f t="shared" si="28"/>
        <v>0</v>
      </c>
      <c r="AG46">
        <f t="shared" si="28"/>
        <v>0</v>
      </c>
      <c r="AH46">
        <f t="shared" si="28"/>
        <v>0</v>
      </c>
      <c r="AI46">
        <f t="shared" si="28"/>
        <v>0</v>
      </c>
      <c r="AJ46">
        <f t="shared" si="28"/>
        <v>0</v>
      </c>
      <c r="AK46">
        <f t="shared" si="28"/>
        <v>0</v>
      </c>
      <c r="AL46">
        <f t="shared" si="28"/>
        <v>0</v>
      </c>
      <c r="AM46">
        <f t="shared" si="28"/>
        <v>0</v>
      </c>
      <c r="AN46">
        <f t="shared" si="28"/>
        <v>0</v>
      </c>
      <c r="AO46">
        <f t="shared" si="28"/>
        <v>0</v>
      </c>
      <c r="AP46">
        <f t="shared" si="28"/>
        <v>0</v>
      </c>
      <c r="AQ46">
        <f t="shared" si="28"/>
        <v>0</v>
      </c>
      <c r="AR46">
        <f t="shared" si="28"/>
        <v>0</v>
      </c>
      <c r="AS46">
        <f t="shared" si="28"/>
        <v>0</v>
      </c>
      <c r="AT46">
        <f t="shared" si="28"/>
        <v>0</v>
      </c>
      <c r="AU46">
        <f t="shared" si="28"/>
        <v>0</v>
      </c>
      <c r="AV46">
        <f t="shared" si="28"/>
        <v>0</v>
      </c>
      <c r="AW46">
        <f t="shared" si="28"/>
        <v>0</v>
      </c>
      <c r="AX46">
        <f t="shared" si="28"/>
        <v>0</v>
      </c>
      <c r="AY46">
        <f t="shared" si="28"/>
        <v>0</v>
      </c>
      <c r="AZ46">
        <f t="shared" si="28"/>
        <v>0</v>
      </c>
      <c r="BA46">
        <f t="shared" si="28"/>
        <v>0</v>
      </c>
      <c r="BB46">
        <f t="shared" si="28"/>
        <v>0</v>
      </c>
      <c r="BC46">
        <f t="shared" si="28"/>
        <v>0</v>
      </c>
      <c r="BD46">
        <f t="shared" si="28"/>
        <v>0</v>
      </c>
      <c r="BE46">
        <f t="shared" si="28"/>
        <v>0</v>
      </c>
      <c r="BF46">
        <f t="shared" si="28"/>
        <v>0</v>
      </c>
      <c r="BG46">
        <f t="shared" si="28"/>
        <v>0</v>
      </c>
      <c r="BH46">
        <f t="shared" si="28"/>
        <v>0</v>
      </c>
      <c r="BI46">
        <f t="shared" si="28"/>
        <v>0</v>
      </c>
      <c r="BJ46">
        <f t="shared" si="28"/>
        <v>0</v>
      </c>
      <c r="BK46">
        <f t="shared" si="28"/>
        <v>0</v>
      </c>
      <c r="BL46">
        <f t="shared" si="28"/>
        <v>0</v>
      </c>
      <c r="BM46">
        <f t="shared" si="28"/>
        <v>0</v>
      </c>
      <c r="BN46" s="1">
        <f>SUM(BN15:BN45)</f>
        <v>0</v>
      </c>
      <c r="BO46" s="62"/>
      <c r="BP46" s="129">
        <f t="shared" ref="BP46:BT46" si="29">SUM(BP15:BP45)</f>
        <v>0</v>
      </c>
      <c r="BQ46" s="129">
        <f t="shared" si="29"/>
        <v>0</v>
      </c>
      <c r="BR46" s="129">
        <f t="shared" si="29"/>
        <v>0</v>
      </c>
      <c r="BS46" s="129">
        <f t="shared" si="29"/>
        <v>0</v>
      </c>
      <c r="BT46" s="129">
        <f t="shared" si="29"/>
        <v>0</v>
      </c>
      <c r="BU46" s="129"/>
      <c r="BV46" s="129"/>
      <c r="BW46" s="129"/>
      <c r="BX46" s="129"/>
      <c r="BY46" s="129"/>
      <c r="BZ46" s="129"/>
      <c r="CA46">
        <f t="shared" ref="CA46:DD46" si="30">COUNTIF(CA15:CA45,"&gt;0")</f>
        <v>0</v>
      </c>
      <c r="CB46">
        <f t="shared" si="30"/>
        <v>0</v>
      </c>
      <c r="CC46">
        <f t="shared" si="30"/>
        <v>0</v>
      </c>
      <c r="CD46">
        <f t="shared" si="30"/>
        <v>0</v>
      </c>
      <c r="CE46">
        <f t="shared" si="30"/>
        <v>0</v>
      </c>
      <c r="CF46">
        <f t="shared" si="30"/>
        <v>0</v>
      </c>
      <c r="CG46">
        <f t="shared" si="30"/>
        <v>0</v>
      </c>
      <c r="CH46">
        <f t="shared" si="30"/>
        <v>0</v>
      </c>
      <c r="CI46">
        <f t="shared" si="30"/>
        <v>0</v>
      </c>
      <c r="CJ46">
        <f t="shared" si="30"/>
        <v>0</v>
      </c>
      <c r="CK46">
        <f t="shared" si="30"/>
        <v>0</v>
      </c>
      <c r="CL46">
        <f t="shared" si="30"/>
        <v>0</v>
      </c>
      <c r="CM46">
        <f t="shared" si="30"/>
        <v>0</v>
      </c>
      <c r="CN46">
        <f t="shared" si="30"/>
        <v>0</v>
      </c>
      <c r="CO46">
        <f t="shared" si="30"/>
        <v>0</v>
      </c>
      <c r="CP46">
        <f t="shared" si="30"/>
        <v>0</v>
      </c>
      <c r="CQ46">
        <f t="shared" si="30"/>
        <v>0</v>
      </c>
      <c r="CR46">
        <f t="shared" si="30"/>
        <v>0</v>
      </c>
      <c r="CS46">
        <f t="shared" si="30"/>
        <v>0</v>
      </c>
      <c r="CT46">
        <f t="shared" si="30"/>
        <v>0</v>
      </c>
      <c r="CU46">
        <f t="shared" si="30"/>
        <v>0</v>
      </c>
      <c r="CV46">
        <f t="shared" si="30"/>
        <v>0</v>
      </c>
      <c r="CW46">
        <f t="shared" si="30"/>
        <v>0</v>
      </c>
      <c r="CX46">
        <f t="shared" si="30"/>
        <v>0</v>
      </c>
      <c r="CY46">
        <f t="shared" si="30"/>
        <v>0</v>
      </c>
      <c r="CZ46">
        <f t="shared" si="30"/>
        <v>0</v>
      </c>
      <c r="DA46">
        <f t="shared" si="30"/>
        <v>0</v>
      </c>
      <c r="DB46">
        <f t="shared" si="30"/>
        <v>0</v>
      </c>
      <c r="DC46">
        <f t="shared" si="30"/>
        <v>0</v>
      </c>
      <c r="DD46">
        <f t="shared" si="30"/>
        <v>0</v>
      </c>
      <c r="DJ46" t="str">
        <f t="shared" si="13"/>
        <v/>
      </c>
      <c r="DK46" t="str">
        <f t="shared" si="13"/>
        <v/>
      </c>
      <c r="DL46" t="str">
        <f t="shared" ref="DL46" si="31">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7"/>
      <c r="AA47" s="137"/>
      <c r="AB47" s="115"/>
      <c r="AC47" s="129"/>
      <c r="AD47" s="115"/>
      <c r="AE47" s="115"/>
      <c r="AF47" s="129"/>
      <c r="AG47" s="129"/>
      <c r="AH47" s="129"/>
      <c r="AI47" s="129"/>
      <c r="AJ47" s="129"/>
      <c r="AK47" s="129"/>
      <c r="AL47" s="129"/>
      <c r="AM47" s="129"/>
      <c r="AN47" s="129"/>
      <c r="AO47" s="129"/>
      <c r="BR47" s="257"/>
      <c r="BS47" s="137"/>
      <c r="BT47" s="137"/>
      <c r="BU47" s="129"/>
      <c r="BV47" s="115"/>
      <c r="BW47" s="129"/>
      <c r="BX47" s="129"/>
      <c r="BY47" s="129"/>
      <c r="BZ47" s="129"/>
      <c r="CA47" s="34">
        <f>IF(OR(CA15&gt;0.1,AJ15&gt;0),1,0)+IF(OR(CA16&gt;0.1,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f>
        <v>0</v>
      </c>
      <c r="CB47" s="34">
        <f t="shared" ref="CB47:DD47" si="32">IF(OR(CB15&gt;0.1,AK15&gt;0),1,0)+IF(OR(CB16&gt;0.1,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f>
        <v>0</v>
      </c>
      <c r="CC47" s="34">
        <f t="shared" si="32"/>
        <v>0</v>
      </c>
      <c r="CD47" s="34">
        <f t="shared" si="32"/>
        <v>0</v>
      </c>
      <c r="CE47" s="34">
        <f t="shared" si="32"/>
        <v>0</v>
      </c>
      <c r="CF47" s="34">
        <f t="shared" si="32"/>
        <v>0</v>
      </c>
      <c r="CG47" s="34">
        <f t="shared" si="32"/>
        <v>0</v>
      </c>
      <c r="CH47" s="34">
        <f t="shared" si="32"/>
        <v>0</v>
      </c>
      <c r="CI47" s="34">
        <f t="shared" si="32"/>
        <v>0</v>
      </c>
      <c r="CJ47" s="34">
        <f t="shared" si="32"/>
        <v>0</v>
      </c>
      <c r="CK47" s="34">
        <f t="shared" si="32"/>
        <v>0</v>
      </c>
      <c r="CL47" s="34">
        <f t="shared" si="32"/>
        <v>0</v>
      </c>
      <c r="CM47" s="34">
        <f t="shared" si="32"/>
        <v>0</v>
      </c>
      <c r="CN47" s="34">
        <f t="shared" si="32"/>
        <v>0</v>
      </c>
      <c r="CO47" s="34">
        <f t="shared" si="32"/>
        <v>0</v>
      </c>
      <c r="CP47" s="34">
        <f t="shared" si="32"/>
        <v>0</v>
      </c>
      <c r="CQ47" s="34">
        <f t="shared" si="32"/>
        <v>0</v>
      </c>
      <c r="CR47" s="34">
        <f t="shared" si="32"/>
        <v>0</v>
      </c>
      <c r="CS47" s="34">
        <f t="shared" si="32"/>
        <v>0</v>
      </c>
      <c r="CT47" s="34">
        <f t="shared" si="32"/>
        <v>0</v>
      </c>
      <c r="CU47" s="34">
        <f t="shared" si="32"/>
        <v>0</v>
      </c>
      <c r="CV47" s="34">
        <f t="shared" si="32"/>
        <v>0</v>
      </c>
      <c r="CW47" s="34">
        <f t="shared" si="32"/>
        <v>0</v>
      </c>
      <c r="CX47" s="34">
        <f t="shared" si="32"/>
        <v>0</v>
      </c>
      <c r="CY47" s="34">
        <f t="shared" si="32"/>
        <v>0</v>
      </c>
      <c r="CZ47" s="34">
        <f t="shared" si="32"/>
        <v>0</v>
      </c>
      <c r="DA47" s="34">
        <f t="shared" si="32"/>
        <v>0</v>
      </c>
      <c r="DB47" s="34">
        <f t="shared" si="32"/>
        <v>0</v>
      </c>
      <c r="DC47" s="34">
        <f t="shared" si="32"/>
        <v>0</v>
      </c>
      <c r="DD47" s="34">
        <f t="shared" si="32"/>
        <v>0</v>
      </c>
    </row>
    <row r="48" spans="1:116" ht="70" customHeight="1">
      <c r="A48" s="873" t="str">
        <f>"Arbejdstid for "&amp;A13&amp;" måned:"</f>
        <v>Arbejdstid for December måned:</v>
      </c>
      <c r="B48" s="874"/>
      <c r="C48" s="874"/>
      <c r="D48" s="874"/>
      <c r="E48" s="874"/>
      <c r="F48" s="874"/>
      <c r="G48" s="874"/>
      <c r="H48" s="201" t="s">
        <v>126</v>
      </c>
      <c r="I48" s="923" t="s">
        <v>115</v>
      </c>
      <c r="J48" s="924"/>
      <c r="K48" s="150"/>
      <c r="L48" s="966" t="s">
        <v>187</v>
      </c>
      <c r="M48" s="967"/>
      <c r="N48" s="967"/>
      <c r="O48" s="967"/>
      <c r="P48" s="967"/>
      <c r="Q48" s="967"/>
      <c r="R48" s="967"/>
      <c r="S48" s="968"/>
      <c r="T48" s="598" t="s">
        <v>361</v>
      </c>
      <c r="U48" s="373" t="s">
        <v>257</v>
      </c>
      <c r="V48" s="303"/>
      <c r="W48" s="117"/>
      <c r="X48" s="130"/>
      <c r="Y48" s="130"/>
      <c r="Z48" s="130"/>
      <c r="AA48"/>
      <c r="AB48"/>
      <c r="AK48" s="56"/>
      <c r="AL48" s="56"/>
      <c r="BO48" s="117"/>
      <c r="BP48" s="117"/>
      <c r="BQ48" s="130"/>
      <c r="BR48" s="130"/>
      <c r="BS48"/>
      <c r="BT48"/>
      <c r="CB48" s="56"/>
      <c r="CC48" s="56"/>
    </row>
    <row r="49" spans="1:114" ht="24" customHeight="1">
      <c r="A49" s="875" t="s">
        <v>270</v>
      </c>
      <c r="B49" s="876"/>
      <c r="C49" s="876"/>
      <c r="D49" s="876"/>
      <c r="E49" s="876"/>
      <c r="F49" s="876"/>
      <c r="G49" s="876"/>
      <c r="H49" s="145">
        <f>D83-D81-A93-D80</f>
        <v>23</v>
      </c>
      <c r="I49" s="852">
        <f>J65</f>
        <v>0</v>
      </c>
      <c r="J49" s="853"/>
      <c r="K49" s="147"/>
      <c r="L49" s="970"/>
      <c r="M49" s="971"/>
      <c r="N49" s="971"/>
      <c r="O49" s="971"/>
      <c r="P49" s="971"/>
      <c r="Q49" s="971"/>
      <c r="R49" s="971"/>
      <c r="S49" s="971"/>
      <c r="T49" s="392">
        <f>November!T56</f>
        <v>0</v>
      </c>
      <c r="U49" s="393">
        <f>November!U56</f>
        <v>0</v>
      </c>
      <c r="V49" s="303"/>
      <c r="W49" s="130"/>
      <c r="X49" s="130"/>
      <c r="Y49" s="130"/>
      <c r="Z49" s="130"/>
      <c r="AA49"/>
      <c r="AB49"/>
      <c r="AK49" s="56"/>
      <c r="AL49" s="56"/>
      <c r="BO49" s="130"/>
      <c r="BP49" s="130"/>
      <c r="BQ49" s="130"/>
      <c r="BR49" s="130"/>
      <c r="BS49"/>
      <c r="BT49"/>
      <c r="CB49" s="56"/>
      <c r="CC49" s="56"/>
    </row>
    <row r="50" spans="1:114" ht="24" customHeight="1">
      <c r="A50" s="875" t="str">
        <f>"Ferie "&amp;A13&amp;" måned"</f>
        <v>Ferie December måned</v>
      </c>
      <c r="B50" s="876"/>
      <c r="C50" s="876"/>
      <c r="D50" s="876"/>
      <c r="E50" s="876"/>
      <c r="F50" s="876"/>
      <c r="G50" s="876"/>
      <c r="H50" s="146" t="str">
        <f>IF(D77&gt;0,$D$77,"0")</f>
        <v>0</v>
      </c>
      <c r="I50" s="961">
        <f>H50*7.4*Stamoplysninger!E21</f>
        <v>0</v>
      </c>
      <c r="J50" s="962"/>
      <c r="K50" s="147"/>
      <c r="L50" s="388" t="s">
        <v>190</v>
      </c>
      <c r="M50" s="389"/>
      <c r="N50" s="389"/>
      <c r="O50" s="389"/>
      <c r="P50" s="389"/>
      <c r="Q50" s="389"/>
      <c r="R50" s="389"/>
      <c r="S50" s="389"/>
      <c r="T50" s="592"/>
      <c r="U50" s="356"/>
      <c r="V50" s="303"/>
      <c r="W50" s="130"/>
      <c r="X50" s="130"/>
      <c r="Y50" s="130"/>
      <c r="Z50" s="130"/>
      <c r="AA50"/>
      <c r="AB50"/>
      <c r="AK50" s="56"/>
      <c r="AL50" s="56"/>
      <c r="BO50" s="130"/>
      <c r="BP50" s="130"/>
      <c r="BQ50" s="130"/>
      <c r="BR50" s="130"/>
      <c r="BS50"/>
      <c r="BT50"/>
      <c r="CB50" s="56"/>
      <c r="CC50" s="56"/>
    </row>
    <row r="51" spans="1:114" ht="24" customHeight="1">
      <c r="A51" s="875" t="str">
        <f>"Søgnehelligdage i "&amp;A13&amp;" måned"</f>
        <v>Søgnehelligdage i December måned</v>
      </c>
      <c r="B51" s="876"/>
      <c r="C51" s="876"/>
      <c r="D51" s="876"/>
      <c r="E51" s="876"/>
      <c r="F51" s="876"/>
      <c r="G51" s="876"/>
      <c r="H51" s="146">
        <f>IF(D82&gt;0,D82,0)</f>
        <v>2</v>
      </c>
      <c r="I51" s="961">
        <f>H51*7.4*Stamoplysninger!E21</f>
        <v>0</v>
      </c>
      <c r="J51" s="962"/>
      <c r="K51" s="225"/>
      <c r="L51" s="948" t="s">
        <v>363</v>
      </c>
      <c r="M51" s="949"/>
      <c r="N51" s="949"/>
      <c r="O51" s="949"/>
      <c r="P51" s="949"/>
      <c r="Q51" s="949"/>
      <c r="R51" s="949"/>
      <c r="S51" s="949"/>
      <c r="T51" s="949"/>
      <c r="U51" s="950"/>
      <c r="V51" s="303"/>
      <c r="W51" s="130"/>
      <c r="X51" s="130"/>
      <c r="Y51" s="130"/>
      <c r="Z51" s="130"/>
      <c r="AA51"/>
      <c r="AB51"/>
      <c r="AK51" s="56"/>
      <c r="AL51" s="56"/>
      <c r="BO51" s="130"/>
      <c r="BP51" s="130"/>
      <c r="BQ51" s="130"/>
      <c r="BR51" s="130"/>
      <c r="BS51"/>
      <c r="BT51"/>
      <c r="CB51" s="56"/>
      <c r="CC51" s="56"/>
    </row>
    <row r="52" spans="1:114" ht="24" customHeight="1">
      <c r="A52" s="875" t="str">
        <f>"Nettoarbejdstid ialt i "&amp;A13&amp;" måned"</f>
        <v>Nettoarbejdstid ialt i December måned</v>
      </c>
      <c r="B52" s="876"/>
      <c r="C52" s="876"/>
      <c r="D52" s="876"/>
      <c r="E52" s="876"/>
      <c r="F52" s="876"/>
      <c r="G52" s="876"/>
      <c r="H52" s="148">
        <f>H49-H50-H51</f>
        <v>21</v>
      </c>
      <c r="I52" s="961">
        <f>IF(Stamoplysninger!$E$18="Ikke omfattet af overenskomst - ansat med en fast årsnorm",Stamoplysninger!$E$20/228*H52*Stamoplysninger!$E$21,I49-I50-I51)</f>
        <v>0</v>
      </c>
      <c r="J52" s="962"/>
      <c r="K52" s="225"/>
      <c r="L52" s="375" t="s">
        <v>362</v>
      </c>
      <c r="M52" s="376" t="s">
        <v>201</v>
      </c>
      <c r="N52" s="954" t="s">
        <v>277</v>
      </c>
      <c r="O52" s="949"/>
      <c r="P52" s="949"/>
      <c r="Q52" s="949"/>
      <c r="R52" s="949"/>
      <c r="S52" s="955"/>
      <c r="T52" s="921" t="s">
        <v>188</v>
      </c>
      <c r="U52" s="922"/>
      <c r="V52" s="303"/>
      <c r="W52" s="130"/>
      <c r="X52" s="130"/>
      <c r="Y52" s="130"/>
      <c r="Z52" s="130"/>
      <c r="AA52"/>
      <c r="AB52"/>
      <c r="AK52" s="56"/>
      <c r="AL52" s="56"/>
      <c r="BO52" s="130"/>
      <c r="BP52" s="130"/>
      <c r="BQ52" s="130"/>
      <c r="BR52" s="130"/>
      <c r="BS52"/>
      <c r="BT52"/>
      <c r="CB52" s="56"/>
      <c r="CC52" s="56"/>
    </row>
    <row r="53" spans="1:114" ht="24" customHeight="1">
      <c r="A53" s="881" t="str">
        <f>"Planlagt arbejdstid efter ovennstående "&amp;A13&amp;" måned kalender"</f>
        <v>Planlagt arbejdstid efter ovennstående December måned kalender</v>
      </c>
      <c r="B53" s="882"/>
      <c r="C53" s="882"/>
      <c r="D53" s="882"/>
      <c r="E53" s="882"/>
      <c r="F53" s="882"/>
      <c r="G53" s="882"/>
      <c r="H53" s="281">
        <f>D60+D61+D62+D63+D66+D67+D74+D68+D69+D70+D71+D72+D73+D75+D76+D64+D65</f>
        <v>21</v>
      </c>
      <c r="I53" s="940">
        <f>K46+L46+M46-J60</f>
        <v>0</v>
      </c>
      <c r="J53" s="941"/>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883" t="str">
        <f>"Arbejde særligt planlagt for "&amp;A13&amp;" måned efter fanen normale uger"</f>
        <v>Arbejde særligt planlagt for December måned efter fanen normale uger</v>
      </c>
      <c r="B54" s="884"/>
      <c r="C54" s="884"/>
      <c r="D54" s="884"/>
      <c r="E54" s="884"/>
      <c r="F54" s="884"/>
      <c r="G54" s="884"/>
      <c r="H54" s="885"/>
      <c r="I54" s="942">
        <f>IF(I53=0,0,'Normal uger'!P98)</f>
        <v>0</v>
      </c>
      <c r="J54" s="943"/>
      <c r="K54" s="226"/>
      <c r="L54" s="372"/>
      <c r="M54" s="304"/>
      <c r="N54" s="956"/>
      <c r="O54" s="957"/>
      <c r="P54" s="957"/>
      <c r="Q54" s="957"/>
      <c r="R54" s="957"/>
      <c r="S54" s="958"/>
      <c r="T54" s="304"/>
      <c r="U54" s="371"/>
      <c r="V54" s="303"/>
      <c r="W54" s="130"/>
      <c r="X54" s="130"/>
      <c r="Y54" s="130"/>
      <c r="Z54" s="130"/>
      <c r="AA54"/>
      <c r="AB54"/>
      <c r="AK54" s="56"/>
      <c r="AL54" s="56"/>
      <c r="BO54" s="130"/>
      <c r="BP54" s="130"/>
      <c r="BQ54" s="130"/>
      <c r="BR54" s="130"/>
      <c r="BS54"/>
      <c r="BT54"/>
      <c r="CB54" s="56"/>
      <c r="CC54" s="56"/>
    </row>
    <row r="55" spans="1:114" ht="24" customHeight="1">
      <c r="A55" s="413" t="s">
        <v>273</v>
      </c>
      <c r="B55" s="414"/>
      <c r="C55" s="414"/>
      <c r="D55" s="414"/>
      <c r="E55" s="414"/>
      <c r="F55" s="414"/>
      <c r="G55" s="414"/>
      <c r="H55" s="415"/>
      <c r="I55" s="959" t="e">
        <f>IF(Arbejdstidsoversigt!$H$54="Puljetimer registreres i månedskalendere",O46-L60,SUM(Arbejdstidsoversigt!J34:J52)/Arbejdstidsoversigt!$G$20*H52)</f>
        <v>#DIV/0!</v>
      </c>
      <c r="J55" s="960"/>
      <c r="K55" s="226"/>
      <c r="L55" s="372"/>
      <c r="M55" s="304"/>
      <c r="N55" s="956"/>
      <c r="O55" s="957"/>
      <c r="P55" s="957"/>
      <c r="Q55" s="957"/>
      <c r="R55" s="957"/>
      <c r="S55" s="958"/>
      <c r="T55" s="353"/>
      <c r="U55" s="371"/>
      <c r="V55" s="406"/>
      <c r="W55" s="406"/>
      <c r="X55" s="303"/>
      <c r="Y55" s="130"/>
      <c r="Z55" s="130"/>
      <c r="AA55" s="130"/>
      <c r="AB55" s="130"/>
      <c r="AM55" s="56"/>
      <c r="AN55" s="56"/>
      <c r="BQ55" s="130"/>
      <c r="BR55" s="130"/>
      <c r="BS55" s="130"/>
      <c r="BT55" s="130"/>
      <c r="CD55" s="56"/>
      <c r="CE55" s="56"/>
    </row>
    <row r="56" spans="1:114" ht="24" customHeight="1">
      <c r="A56" s="877" t="s">
        <v>248</v>
      </c>
      <c r="B56" s="878"/>
      <c r="C56" s="878"/>
      <c r="D56" s="878"/>
      <c r="E56" s="878"/>
      <c r="F56" s="878"/>
      <c r="G56" s="878"/>
      <c r="H56" s="878"/>
      <c r="I56" s="944">
        <f>S46+U46+T46-P60-Q60-R60</f>
        <v>0</v>
      </c>
      <c r="J56" s="945"/>
      <c r="K56" s="227"/>
      <c r="L56" s="372"/>
      <c r="M56" s="304"/>
      <c r="N56" s="956"/>
      <c r="O56" s="957"/>
      <c r="P56" s="957"/>
      <c r="Q56" s="957"/>
      <c r="R56" s="957"/>
      <c r="S56" s="958"/>
      <c r="T56" s="304"/>
      <c r="U56" s="371"/>
      <c r="V56" s="303"/>
      <c r="W56" s="137"/>
      <c r="X56" s="130"/>
      <c r="Z56" s="130"/>
      <c r="AA56" s="130"/>
      <c r="AB56"/>
      <c r="AM56" s="56"/>
      <c r="AN56" s="56"/>
      <c r="BO56" s="137"/>
      <c r="BP56" s="137"/>
      <c r="BR56" s="130"/>
      <c r="BS56"/>
      <c r="BT56"/>
      <c r="CD56" s="56"/>
      <c r="CE56" s="56"/>
    </row>
    <row r="57" spans="1:114" ht="24" customHeight="1" thickBot="1">
      <c r="A57" s="149" t="str">
        <f>"Faktisk arbejdstid ialt i "&amp;A13&amp;" måned"</f>
        <v>Faktisk arbejdstid ialt i December måned</v>
      </c>
      <c r="B57" s="188"/>
      <c r="C57" s="189"/>
      <c r="D57" s="189"/>
      <c r="E57" s="189"/>
      <c r="F57" s="189"/>
      <c r="G57" s="189"/>
      <c r="H57" s="190"/>
      <c r="I57" s="946" t="e">
        <f>SUM(I53:J56)</f>
        <v>#DIV/0!</v>
      </c>
      <c r="J57" s="947"/>
      <c r="K57" s="131"/>
      <c r="L57" s="951" t="s">
        <v>189</v>
      </c>
      <c r="M57" s="952"/>
      <c r="N57" s="952"/>
      <c r="O57" s="952"/>
      <c r="P57" s="952"/>
      <c r="Q57" s="952"/>
      <c r="R57" s="952"/>
      <c r="S57" s="953"/>
      <c r="T57" s="387">
        <f>T49+T50-SUM(T53:T56)</f>
        <v>0</v>
      </c>
      <c r="U57" s="394">
        <f>U49+U50-SUM(U53:U56)</f>
        <v>0</v>
      </c>
      <c r="V57" s="303"/>
      <c r="W57" s="137"/>
      <c r="X57" s="130"/>
      <c r="Z57" s="130"/>
      <c r="AA57" s="130"/>
      <c r="AB57"/>
      <c r="AL57" s="56"/>
      <c r="AM57" s="56"/>
      <c r="BG57" s="56"/>
      <c r="BH57" s="56"/>
      <c r="BO57" s="137"/>
      <c r="BP57" s="137"/>
      <c r="BR57" s="130"/>
      <c r="BS57"/>
      <c r="BT57"/>
      <c r="CC57" s="56"/>
      <c r="CD57" s="56"/>
    </row>
    <row r="58" spans="1:114" hidden="1">
      <c r="A58" s="144"/>
      <c r="B58" s="144"/>
      <c r="C58" s="144"/>
      <c r="D58" s="144"/>
      <c r="E58" s="144"/>
      <c r="F58" s="144"/>
      <c r="G58" s="144"/>
      <c r="H58" s="144"/>
      <c r="I58" s="302"/>
      <c r="J58" s="302"/>
      <c r="K58" s="302"/>
      <c r="L58" s="290"/>
      <c r="M58" s="252"/>
      <c r="N58" s="252"/>
      <c r="O58" s="252"/>
      <c r="P58" s="252"/>
      <c r="Q58" s="252"/>
      <c r="R58" s="205"/>
      <c r="S58" s="253"/>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6"/>
      <c r="B59" s="286"/>
      <c r="C59" s="286"/>
      <c r="D59" s="286"/>
      <c r="E59" s="286"/>
      <c r="F59" s="286"/>
      <c r="G59" s="286"/>
      <c r="H59" s="287"/>
      <c r="I59" s="288"/>
      <c r="K59" s="286"/>
      <c r="L59" s="289"/>
      <c r="M59" s="279"/>
      <c r="N59" s="252"/>
      <c r="O59" s="252"/>
      <c r="P59" s="279"/>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295" t="s">
        <v>217</v>
      </c>
      <c r="B60" s="295"/>
      <c r="C60" s="295"/>
      <c r="D60" s="295">
        <f>COUNTIF([0]!December1,"Normal uge 1")</f>
        <v>21</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R60" si="33">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 t="shared" si="33"/>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204</v>
      </c>
      <c r="B61" s="969"/>
      <c r="C61" s="969"/>
      <c r="D61" s="295">
        <f>COUNTIF([0]!December1,"Normal uge 2")</f>
        <v>0</v>
      </c>
      <c r="E61" s="296"/>
      <c r="F61" s="295"/>
      <c r="G61" s="295" t="s">
        <v>489</v>
      </c>
      <c r="H61" s="852">
        <f>IF(AND(Stamoplysninger!$E$18="BUPL/FOA",Stamoplysninger!$E$19="Ja"),1924/Arbejdstidsoversigt!$K$13*Stamoplysninger!$E$21*$H$49,H49*7.4*Stamoplysninger!$E$21)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205</v>
      </c>
      <c r="B62" s="969"/>
      <c r="C62" s="969"/>
      <c r="D62" s="295">
        <f>COUNTIF([0]!December1,"Normal uge 3")</f>
        <v>0</v>
      </c>
      <c r="E62" s="296"/>
      <c r="F62" s="295"/>
      <c r="G62" s="295" t="s">
        <v>212</v>
      </c>
      <c r="H62" s="852">
        <f>IF(AND(Stamoplysninger!$E$18="HK",Stamoplysninger!$E$19="Ja"),1924/Arbejdstidsoversigt!$K$13*Stamoplysninger!$E$21*$H$49,$H$49*7.4*Stamoplysninger!$E$21)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69" t="s">
        <v>206</v>
      </c>
      <c r="B63" s="969"/>
      <c r="C63" s="969"/>
      <c r="D63" s="295">
        <f>COUNTIF([0]!December1,"Normal uge 4")</f>
        <v>0</v>
      </c>
      <c r="E63" s="296"/>
      <c r="F63" s="295"/>
      <c r="G63" s="295" t="s">
        <v>213</v>
      </c>
      <c r="H63" s="288">
        <f>IF(Stamoplysninger!$E$18="3F",7.4*Stamoplysninger!$E$21*$H$49,0)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0" t="s">
        <v>406</v>
      </c>
      <c r="B64" s="650"/>
      <c r="C64" s="650"/>
      <c r="D64" s="295">
        <f>COUNTIF([0]!December1,"Normal uge 5")</f>
        <v>0</v>
      </c>
      <c r="E64" s="296"/>
      <c r="F64" s="295"/>
      <c r="G64" s="295" t="s">
        <v>498</v>
      </c>
      <c r="H64" s="288">
        <f>IF(Stamoplysninger!$E$18="Ikke omfattet af overenskomst - ansat med en variabel årsnorm",7.4*Stamoplysninger!$E$21*$H$49,0)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52" t="s">
        <v>407</v>
      </c>
      <c r="B65" s="652"/>
      <c r="C65" s="652"/>
      <c r="D65" s="295">
        <f>COUNTIF([0]!December1,"Normal uge 6")</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295" t="s">
        <v>228</v>
      </c>
      <c r="B66" s="295"/>
      <c r="C66" s="295"/>
      <c r="D66" s="295">
        <f>COUNTIF([0]!December1,"Anderledes dag")</f>
        <v>0</v>
      </c>
      <c r="E66" s="296"/>
      <c r="F66" s="295"/>
      <c r="G66" s="295"/>
      <c r="H66" s="288"/>
      <c r="I66" s="292"/>
      <c r="J66" s="289"/>
      <c r="K66" s="291"/>
      <c r="L66" s="292"/>
      <c r="M66" s="280"/>
      <c r="N66" s="280"/>
      <c r="O66" s="280"/>
      <c r="P66" s="280"/>
      <c r="AA66"/>
      <c r="AB66"/>
      <c r="AW66" s="1"/>
      <c r="BG66" s="1"/>
      <c r="BR66" s="63"/>
      <c r="BS66"/>
      <c r="BT66"/>
      <c r="CN66" s="1"/>
      <c r="CX66" s="1"/>
      <c r="DG66" s="138"/>
    </row>
    <row r="67" spans="1:114" hidden="1">
      <c r="A67" s="297" t="s">
        <v>370</v>
      </c>
      <c r="B67" s="295"/>
      <c r="C67" s="295"/>
      <c r="D67" s="295">
        <f>COUNTIF([0]!December1,"Ferieåbning")</f>
        <v>0</v>
      </c>
      <c r="E67" s="296"/>
      <c r="F67" s="295"/>
      <c r="G67" s="295"/>
      <c r="H67" s="288"/>
      <c r="I67" s="292"/>
      <c r="J67" s="292"/>
      <c r="K67" s="292"/>
      <c r="L67" s="292"/>
      <c r="M67" s="280"/>
      <c r="N67" s="280"/>
      <c r="O67" s="280"/>
      <c r="P67" s="280"/>
      <c r="AA67"/>
      <c r="AB67"/>
      <c r="AW67" s="1"/>
      <c r="BG67" s="1"/>
      <c r="BR67" s="63"/>
      <c r="BS67"/>
      <c r="BT67"/>
      <c r="CN67" s="1"/>
      <c r="CX67" s="1"/>
      <c r="DG67" s="138"/>
    </row>
    <row r="68" spans="1:114" hidden="1">
      <c r="A68" s="297" t="s">
        <v>218</v>
      </c>
      <c r="B68" s="295"/>
      <c r="C68" s="295"/>
      <c r="D68" s="295">
        <f>COUNTIF([0]!December1,"Rul 1")</f>
        <v>0</v>
      </c>
      <c r="E68" s="296"/>
      <c r="F68" s="295"/>
      <c r="G68" s="295"/>
      <c r="H68" s="288"/>
      <c r="I68" s="292"/>
      <c r="J68" s="292"/>
      <c r="K68" s="292"/>
      <c r="L68" s="292"/>
      <c r="M68" s="252"/>
      <c r="N68" s="280"/>
      <c r="O68" s="280"/>
      <c r="P68" s="252"/>
      <c r="AA68"/>
      <c r="AB68"/>
      <c r="AW68" s="1"/>
      <c r="BG68" s="1"/>
      <c r="BR68" s="63"/>
      <c r="BS68"/>
      <c r="BT68"/>
      <c r="CN68" s="1"/>
      <c r="CX68" s="1"/>
      <c r="DG68" s="138"/>
    </row>
    <row r="69" spans="1:114" hidden="1">
      <c r="A69" s="297" t="s">
        <v>219</v>
      </c>
      <c r="B69" s="295"/>
      <c r="C69" s="295"/>
      <c r="D69" s="295">
        <f>COUNTIF([0]!December1,"Rul 2")</f>
        <v>0</v>
      </c>
      <c r="E69" s="296"/>
      <c r="F69" s="295"/>
      <c r="G69" s="295"/>
      <c r="H69" s="288"/>
      <c r="I69" s="292"/>
      <c r="J69" s="292"/>
      <c r="K69" s="292"/>
      <c r="L69" s="292"/>
      <c r="N69" s="252"/>
      <c r="O69" s="252"/>
      <c r="AA69"/>
      <c r="AB69"/>
      <c r="AW69" s="1"/>
      <c r="BG69" s="1"/>
      <c r="BR69" s="63"/>
      <c r="BS69"/>
      <c r="BT69"/>
      <c r="CN69" s="1"/>
      <c r="CX69" s="1"/>
      <c r="DG69" s="138"/>
    </row>
    <row r="70" spans="1:114" hidden="1">
      <c r="A70" s="297" t="s">
        <v>220</v>
      </c>
      <c r="B70" s="295"/>
      <c r="C70" s="295"/>
      <c r="D70" s="295">
        <f>COUNTIF([0]!December1,"Rul 3")</f>
        <v>0</v>
      </c>
      <c r="E70" s="296"/>
      <c r="F70" s="295"/>
      <c r="G70" s="295"/>
      <c r="H70" s="288"/>
      <c r="I70" s="292"/>
      <c r="J70" s="292"/>
      <c r="K70" s="292"/>
      <c r="L70" s="292"/>
      <c r="P70" s="288"/>
      <c r="AA70"/>
      <c r="AB70"/>
      <c r="AW70" s="1"/>
      <c r="BG70" s="1"/>
      <c r="BR70" s="63"/>
      <c r="BS70"/>
      <c r="BT70"/>
      <c r="CN70" s="1"/>
      <c r="CX70" s="1"/>
      <c r="DG70" s="138"/>
    </row>
    <row r="71" spans="1:114" hidden="1">
      <c r="A71" s="297" t="s">
        <v>221</v>
      </c>
      <c r="B71" s="295"/>
      <c r="C71" s="295"/>
      <c r="D71" s="295">
        <f>COUNTIF([0]!December1,"Rul 4")</f>
        <v>0</v>
      </c>
      <c r="E71" s="296"/>
      <c r="F71" s="295"/>
      <c r="G71" s="295"/>
      <c r="H71" s="288"/>
      <c r="I71" s="292"/>
      <c r="J71" s="292"/>
      <c r="K71" s="292"/>
      <c r="L71" s="292"/>
      <c r="AA71"/>
      <c r="AB71"/>
      <c r="AW71" s="1"/>
      <c r="BG71" s="1"/>
      <c r="BS71"/>
      <c r="BT71"/>
      <c r="CN71" s="1"/>
      <c r="CX71" s="1"/>
      <c r="DG71" s="138"/>
    </row>
    <row r="72" spans="1:114" hidden="1">
      <c r="A72" s="297" t="s">
        <v>222</v>
      </c>
      <c r="B72" s="295"/>
      <c r="C72" s="295"/>
      <c r="D72" s="295">
        <f>COUNTIF([0]!December1,"Rul 5")</f>
        <v>0</v>
      </c>
      <c r="E72" s="296"/>
      <c r="F72" s="295"/>
      <c r="G72" s="295"/>
      <c r="H72" s="288"/>
      <c r="I72" s="292"/>
      <c r="J72" s="292"/>
      <c r="K72" s="292"/>
      <c r="L72" s="292"/>
      <c r="AA72"/>
      <c r="AB72"/>
      <c r="AW72" s="1"/>
      <c r="BG72" s="1"/>
      <c r="BS72"/>
      <c r="BT72"/>
      <c r="CN72" s="1"/>
      <c r="CX72" s="1"/>
      <c r="DG72" s="138"/>
    </row>
    <row r="73" spans="1:114" hidden="1">
      <c r="A73" s="297" t="s">
        <v>223</v>
      </c>
      <c r="B73" s="295"/>
      <c r="C73" s="295"/>
      <c r="D73" s="295">
        <f>COUNTIF([0]!December1,"Rul 6")</f>
        <v>0</v>
      </c>
      <c r="E73" s="296"/>
      <c r="F73" s="298"/>
      <c r="G73" s="298"/>
      <c r="H73" s="294"/>
      <c r="I73" s="292"/>
      <c r="J73" s="292"/>
      <c r="K73" s="292"/>
      <c r="L73" s="292"/>
      <c r="AA73"/>
      <c r="AB73"/>
      <c r="AW73" s="1"/>
      <c r="BG73" s="1"/>
      <c r="BS73"/>
      <c r="BT73"/>
      <c r="CN73" s="1"/>
      <c r="CX73" s="1"/>
      <c r="DG73" s="138"/>
    </row>
    <row r="74" spans="1:114" hidden="1">
      <c r="A74" s="295" t="s">
        <v>83</v>
      </c>
      <c r="B74" s="295"/>
      <c r="C74" s="295"/>
      <c r="D74" s="295">
        <f>COUNTIF([0]!December1,"Pæd.dag")</f>
        <v>0</v>
      </c>
      <c r="E74" s="296"/>
      <c r="F74" s="295"/>
      <c r="G74" s="295"/>
      <c r="H74" s="288"/>
      <c r="I74" s="292"/>
      <c r="J74" s="292"/>
      <c r="K74" s="292"/>
      <c r="L74" s="291"/>
      <c r="AA74"/>
      <c r="AB74"/>
      <c r="AW74" s="1"/>
      <c r="BG74" s="1"/>
      <c r="BS74"/>
      <c r="BT74"/>
      <c r="CN74" s="1"/>
      <c r="CX74" s="1"/>
      <c r="DG74" s="138"/>
    </row>
    <row r="75" spans="1:114" hidden="1">
      <c r="A75" s="295" t="s">
        <v>227</v>
      </c>
      <c r="B75" s="295"/>
      <c r="C75" s="295"/>
      <c r="D75" s="295">
        <f>COUNTIF([0]!December1,"Koloni")</f>
        <v>0</v>
      </c>
      <c r="E75" s="296"/>
      <c r="F75" s="295"/>
      <c r="G75" s="295"/>
      <c r="H75" s="288"/>
      <c r="I75" s="292"/>
      <c r="J75" s="292"/>
      <c r="K75" s="292"/>
      <c r="L75" s="291"/>
      <c r="AA75"/>
      <c r="AB75"/>
      <c r="AW75" s="1"/>
      <c r="BG75" s="1"/>
      <c r="BS75"/>
      <c r="BT75"/>
      <c r="CN75" s="1"/>
      <c r="CX75" s="1"/>
      <c r="DG75" s="138"/>
    </row>
    <row r="76" spans="1:114" hidden="1">
      <c r="A76" s="295" t="s">
        <v>82</v>
      </c>
      <c r="B76" s="295"/>
      <c r="C76" s="295"/>
      <c r="D76" s="295">
        <f>COUNTIF([0]!December1,"Ekskursion")</f>
        <v>0</v>
      </c>
      <c r="E76" s="296"/>
      <c r="F76" s="295"/>
      <c r="G76" s="295"/>
      <c r="H76" s="288"/>
      <c r="I76" s="292"/>
      <c r="J76" s="292"/>
      <c r="K76" s="292"/>
      <c r="L76" s="291"/>
      <c r="AA76"/>
      <c r="AB76"/>
      <c r="AW76" s="1"/>
      <c r="BG76" s="1"/>
      <c r="BS76"/>
      <c r="BT76"/>
      <c r="CN76" s="1"/>
      <c r="CX76" s="1"/>
      <c r="DG76" s="138"/>
    </row>
    <row r="77" spans="1:114" hidden="1">
      <c r="A77" s="295" t="s">
        <v>109</v>
      </c>
      <c r="B77" s="295"/>
      <c r="C77" s="295"/>
      <c r="D77" s="295">
        <f>COUNTIF([0]!December1,"Feriedag")</f>
        <v>0</v>
      </c>
      <c r="E77" s="295"/>
      <c r="F77" s="295"/>
      <c r="G77" s="295"/>
      <c r="H77" s="288"/>
      <c r="I77" s="292"/>
      <c r="J77" s="292"/>
      <c r="K77" s="292"/>
      <c r="L77" s="291"/>
      <c r="AA77"/>
      <c r="AB77"/>
      <c r="AW77" s="1"/>
      <c r="BG77" s="1"/>
      <c r="BS77"/>
      <c r="BT77"/>
      <c r="CN77" s="1"/>
      <c r="CX77" s="1"/>
      <c r="DG77" s="138"/>
    </row>
    <row r="78" spans="1:114" hidden="1">
      <c r="A78" s="295" t="s">
        <v>78</v>
      </c>
      <c r="B78" s="295"/>
      <c r="C78" s="295"/>
      <c r="D78" s="295">
        <f>COUNTIF([0]!December1,"Nul-dag")</f>
        <v>0</v>
      </c>
      <c r="E78" s="299"/>
      <c r="F78" s="295"/>
      <c r="G78" s="295"/>
      <c r="H78" s="288"/>
      <c r="I78" s="292"/>
      <c r="J78" s="292"/>
      <c r="K78" s="292"/>
      <c r="L78" s="291"/>
      <c r="AA78"/>
      <c r="AB78"/>
      <c r="AW78" s="1"/>
      <c r="BG78" s="1"/>
      <c r="BS78"/>
      <c r="BT78"/>
      <c r="CN78" s="1"/>
      <c r="CX78" s="1"/>
      <c r="DG78" s="138"/>
    </row>
    <row r="79" spans="1:114" hidden="1">
      <c r="A79" s="295" t="s">
        <v>176</v>
      </c>
      <c r="B79" s="295"/>
      <c r="C79" s="295"/>
      <c r="D79" s="295">
        <f>COUNTIF([0]!December1,"Orlov")</f>
        <v>0</v>
      </c>
      <c r="E79" s="295"/>
      <c r="F79" s="295"/>
      <c r="G79" s="295"/>
      <c r="H79" s="288"/>
      <c r="I79" s="288"/>
      <c r="J79" s="292"/>
      <c r="K79" s="292"/>
      <c r="L79" s="291"/>
      <c r="AA79"/>
      <c r="AB79"/>
      <c r="AW79" s="1"/>
      <c r="BG79" s="1"/>
      <c r="BS79"/>
      <c r="BT79"/>
      <c r="CN79" s="1"/>
      <c r="CX79" s="1"/>
      <c r="DG79" s="138"/>
    </row>
    <row r="80" spans="1:114" hidden="1">
      <c r="A80" s="295" t="s">
        <v>98</v>
      </c>
      <c r="B80" s="295"/>
      <c r="C80" s="295"/>
      <c r="D80" s="295">
        <f>COUNTIF([0]!December1,"Ikke relevant")</f>
        <v>0</v>
      </c>
      <c r="E80" s="295"/>
      <c r="F80" s="295"/>
      <c r="G80" s="295"/>
      <c r="H80" s="288"/>
      <c r="I80" s="288"/>
      <c r="J80" s="291"/>
      <c r="K80" s="291"/>
      <c r="L80" s="291"/>
      <c r="AA80"/>
      <c r="AB80"/>
      <c r="AW80" s="1"/>
      <c r="BG80" s="1"/>
      <c r="BS80"/>
      <c r="BT80"/>
      <c r="CN80" s="1"/>
      <c r="CX80" s="1"/>
      <c r="DG80" s="138"/>
    </row>
    <row r="81" spans="1:114" hidden="1">
      <c r="A81" s="295" t="s">
        <v>77</v>
      </c>
      <c r="B81" s="295"/>
      <c r="C81" s="295"/>
      <c r="D81" s="295">
        <f>COUNTIF([0]!December1,"Weekend")</f>
        <v>8</v>
      </c>
      <c r="E81" s="295"/>
      <c r="F81" s="295"/>
      <c r="G81" s="295"/>
      <c r="H81" s="288"/>
      <c r="I81" s="288"/>
      <c r="J81" s="291"/>
      <c r="K81" s="291"/>
      <c r="L81" s="291"/>
      <c r="AA81"/>
      <c r="AB81"/>
      <c r="AW81" s="1"/>
      <c r="BG81" s="1">
        <f>SUM(Z87:BF87)</f>
        <v>0</v>
      </c>
      <c r="BS81"/>
      <c r="BT81"/>
      <c r="CN81" s="1"/>
      <c r="CX81" s="1"/>
      <c r="DG81" s="138"/>
    </row>
    <row r="82" spans="1:114" hidden="1">
      <c r="A82" s="293" t="s">
        <v>76</v>
      </c>
      <c r="B82" s="295"/>
      <c r="C82" s="295"/>
      <c r="D82" s="295">
        <f>COUNTIF([0]!December1,"SH-dag")</f>
        <v>2</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73</v>
      </c>
      <c r="B83" s="295"/>
      <c r="C83" s="295"/>
      <c r="D83" s="295">
        <f>SUM(D60:D82)</f>
        <v>31</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t="s">
        <v>122</v>
      </c>
      <c r="B84" s="295"/>
      <c r="C84" s="295"/>
      <c r="D84" s="295">
        <f>D83-D77-A93-D81-D82</f>
        <v>21</v>
      </c>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291"/>
      <c r="AA85"/>
      <c r="AB85"/>
      <c r="AW85" s="1">
        <f>SUM(P85:AV85)</f>
        <v>0</v>
      </c>
      <c r="BS85"/>
      <c r="BT85"/>
      <c r="CN85" s="1">
        <f>SUM(AV85:CM85)</f>
        <v>0</v>
      </c>
      <c r="CX85" s="1">
        <f>SUM(BQ90:CW90)</f>
        <v>0</v>
      </c>
      <c r="DG85" s="138"/>
    </row>
    <row r="86" spans="1:114" hidden="1">
      <c r="A86" s="295"/>
      <c r="B86" s="295"/>
      <c r="C86" s="295"/>
      <c r="D86" s="295"/>
      <c r="E86" s="295"/>
      <c r="F86" s="295"/>
      <c r="G86" s="295"/>
      <c r="H86" s="288"/>
      <c r="I86" s="288"/>
      <c r="J86" s="291"/>
      <c r="K86" s="291"/>
      <c r="L86" s="33"/>
      <c r="AA86"/>
      <c r="AB86"/>
      <c r="BS86"/>
      <c r="BT86"/>
      <c r="DG86" s="138"/>
    </row>
    <row r="87" spans="1:114" hidden="1">
      <c r="A87" s="295" t="s">
        <v>138</v>
      </c>
      <c r="B87" s="295"/>
      <c r="C87" s="295"/>
      <c r="D87" s="295"/>
      <c r="E87" s="295"/>
      <c r="F87" s="295"/>
      <c r="G87" s="295"/>
      <c r="H87" s="291"/>
      <c r="I87" s="288"/>
      <c r="J87" s="291"/>
      <c r="K87" s="291"/>
      <c r="L87" s="33"/>
      <c r="AA87"/>
      <c r="AB87"/>
      <c r="BS87"/>
      <c r="BT87"/>
      <c r="DG87" s="138"/>
    </row>
    <row r="88" spans="1:114" hidden="1">
      <c r="A88" s="295">
        <f>COUNTIF(C20:C21,"Normal uge 1")+COUNTIF(C20:C21,"Normal uge 2")+COUNTIF(C20:C21,"Normal uge 3")+COUNTIF(C20:C21,"Normal uge 4")+COUNTIF(C20:C21,"Anderledes dag")+COUNTIF(C20:C21,"Feriepasningsdag")+COUNTIF(C20:C21,"Koloni")+COUNTIF(C20:C21,"Ekskursion")+COUNTIF(C20:C21,"Pæd.dag")</f>
        <v>0</v>
      </c>
      <c r="B88" s="295"/>
      <c r="C88" s="295"/>
      <c r="D88" s="295"/>
      <c r="E88" s="295"/>
      <c r="F88" s="295"/>
      <c r="G88" s="295"/>
      <c r="H88" s="291"/>
      <c r="I88" s="291"/>
      <c r="J88" s="291"/>
      <c r="K88" s="291"/>
      <c r="L88" s="33"/>
      <c r="AA88"/>
      <c r="AB88"/>
      <c r="BS88"/>
      <c r="BT88"/>
      <c r="DG88" s="138"/>
    </row>
    <row r="89" spans="1:114" hidden="1">
      <c r="A89" s="295">
        <f>COUNTIF(C27:C28,"Normal uge 1")+COUNTIF(C27:C28,"Normal uge 2")+COUNTIF(C27:C28,"Normal uge 3")+COUNTIF(C27:C28,"Normal uge 4")+COUNTIF(C27:C28,"Anderledes dag")+COUNTIF(C27:C28,"Feriepasningsdag")+COUNTIF(C27:C28,"Pæd.dag")+COUNTIF(C27:C28,"Ekskursion")+COUNTIF(C27:C28,"Koloni")</f>
        <v>0</v>
      </c>
      <c r="B89" s="295"/>
      <c r="C89" s="295"/>
      <c r="D89" s="295"/>
      <c r="E89" s="295"/>
      <c r="F89" s="295"/>
      <c r="G89" s="295"/>
      <c r="H89" s="291"/>
      <c r="I89" s="33"/>
      <c r="J89" s="291"/>
      <c r="K89" s="291"/>
      <c r="L89" s="33"/>
      <c r="AA89"/>
      <c r="AB89"/>
      <c r="BS89"/>
      <c r="BT89"/>
      <c r="DG89" s="138"/>
    </row>
    <row r="90" spans="1:114" hidden="1">
      <c r="A90" s="295">
        <f>COUNTIF(C34:C35,"Normal uge 1")+COUNTIF(C34:C35,"Normal uge 2")+COUNTIF(C34:C35,"Normal uge 3")+COUNTIF(C34:C35,"Normal uge 4")+COUNTIF(C34:C35,"Anderledes dag")+COUNTIF(C34:C35,"Feriepasningsdag")+COUNTIF(C34:C35,"Koloni")+COUNTIF(C34:C35,"Ekskursion")+COUNTIF(C34:C35,"Pæd.dag")</f>
        <v>0</v>
      </c>
      <c r="B90" s="295"/>
      <c r="C90" s="295"/>
      <c r="D90" s="295"/>
      <c r="E90" s="288"/>
      <c r="F90" s="288"/>
      <c r="G90" s="288"/>
      <c r="H90" s="291"/>
      <c r="I90" s="33"/>
      <c r="J90" s="33"/>
      <c r="K90" s="33"/>
      <c r="L90" s="33"/>
      <c r="AA90"/>
      <c r="AB90"/>
      <c r="BS90"/>
      <c r="BT90"/>
      <c r="DG90" s="138"/>
    </row>
    <row r="91" spans="1:114" hidden="1">
      <c r="A91" s="295">
        <f>COUNTIF(C41:C42,"Normal uge 1")+COUNTIF(C41:C42,"Normal uge 2")+COUNTIF(C41:C42,"Normal uge 3")+COUNTIF(C41:C42,"Normal uge 4")+COUNTIF(C41:C42,"Anderledes dag")+COUNTIF(C41:C42,"Feriepasningsdag")+COUNTIF(C41:C42,"Koloni")+COUNTIF(C41:C42,"Ekskursion")+COUNTIF(C41:C42,"Pæd.dag")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c r="B92" s="295"/>
      <c r="C92" s="295"/>
      <c r="D92" s="295"/>
      <c r="E92" s="288"/>
      <c r="F92" s="288"/>
      <c r="G92" s="288"/>
      <c r="H92" s="291"/>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5">
        <f>SUM(A88:A92)</f>
        <v>0</v>
      </c>
      <c r="B93" s="295"/>
      <c r="C93" s="295"/>
      <c r="D93" s="295"/>
      <c r="E93" s="68"/>
      <c r="F93" s="68"/>
      <c r="G93" s="68"/>
      <c r="H93" s="33"/>
      <c r="I93" s="33"/>
      <c r="J93" s="33"/>
      <c r="K93" s="33"/>
      <c r="L93" s="33"/>
    </row>
    <row r="94" spans="1:114" hidden="1">
      <c r="A94" s="300"/>
      <c r="B94" s="300"/>
      <c r="C94" s="300"/>
      <c r="D94" s="300"/>
      <c r="E94" s="68"/>
      <c r="F94" s="68"/>
      <c r="G94" s="68"/>
      <c r="H94" s="33"/>
      <c r="I94" s="33"/>
      <c r="J94" s="33"/>
      <c r="K94" s="33"/>
      <c r="L94" s="33"/>
    </row>
    <row r="95" spans="1:114" hidden="1">
      <c r="A95" s="260"/>
      <c r="B95" s="260"/>
      <c r="C95" s="260"/>
      <c r="D95" s="260"/>
      <c r="E95" s="260"/>
      <c r="F95" s="260"/>
      <c r="G95" s="260"/>
      <c r="H95" s="260"/>
      <c r="I95" s="260"/>
      <c r="J95" s="260"/>
      <c r="K95" s="260"/>
      <c r="L95" s="260"/>
    </row>
    <row r="96" spans="1:114" hidden="1">
      <c r="A96" s="260"/>
      <c r="B96" s="260"/>
      <c r="C96" s="260"/>
      <c r="D96" s="260"/>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hidden="1">
      <c r="A116" s="260"/>
      <c r="B116" s="260"/>
      <c r="C116" s="260"/>
      <c r="D116" s="260"/>
      <c r="E116" s="260"/>
      <c r="F116" s="260"/>
      <c r="G116" s="260"/>
      <c r="H116" s="260"/>
      <c r="I116" s="260"/>
      <c r="J116" s="260"/>
      <c r="K116" s="260"/>
      <c r="L116" s="260"/>
    </row>
    <row r="117" spans="1:12" hidden="1">
      <c r="A117" s="260"/>
      <c r="B117" s="260"/>
      <c r="C117" s="260"/>
      <c r="D117" s="260"/>
      <c r="E117" s="260"/>
      <c r="F117" s="260"/>
      <c r="G117" s="260"/>
      <c r="H117" s="260"/>
      <c r="I117" s="260"/>
      <c r="J117" s="260"/>
      <c r="K117" s="260"/>
    </row>
    <row r="118" spans="1:12" hidden="1">
      <c r="A118" s="260"/>
      <c r="B118" s="260"/>
      <c r="C118" s="260"/>
      <c r="D118" s="260"/>
      <c r="E118" s="260"/>
      <c r="F118" s="260"/>
      <c r="G118" s="260"/>
      <c r="H118" s="260"/>
      <c r="I118" s="260"/>
      <c r="J118" s="260"/>
      <c r="K118" s="260"/>
    </row>
    <row r="119" spans="1:12">
      <c r="A119" s="260"/>
      <c r="B119" s="260"/>
      <c r="C119" s="260"/>
      <c r="D119" s="260"/>
      <c r="I119" s="260"/>
      <c r="J119" s="260"/>
      <c r="K119" s="260"/>
    </row>
    <row r="120" spans="1:12">
      <c r="A120" s="260"/>
      <c r="B120" s="260"/>
      <c r="C120" s="260"/>
      <c r="D120" s="260"/>
      <c r="J120" s="260"/>
      <c r="K120" s="260"/>
    </row>
    <row r="121" spans="1:12">
      <c r="A121" s="260"/>
      <c r="B121" s="260"/>
      <c r="C121" s="260"/>
      <c r="D121" s="260"/>
    </row>
    <row r="122" spans="1:12">
      <c r="A122" s="260"/>
      <c r="B122" s="260"/>
      <c r="C122" s="260"/>
      <c r="D122" s="260"/>
    </row>
    <row r="123" spans="1:12">
      <c r="A123" s="260"/>
      <c r="B123" s="260"/>
      <c r="C123" s="260"/>
      <c r="D123" s="260"/>
    </row>
    <row r="124" spans="1:12">
      <c r="A124" s="260"/>
      <c r="B124" s="260"/>
      <c r="C124" s="260"/>
      <c r="D124" s="260"/>
    </row>
  </sheetData>
  <sheetProtection sheet="1" objects="1" scenarios="1"/>
  <mergeCells count="116">
    <mergeCell ref="A63:C63"/>
    <mergeCell ref="L51:U51"/>
    <mergeCell ref="T52:U52"/>
    <mergeCell ref="I55:J55"/>
    <mergeCell ref="N53:S53"/>
    <mergeCell ref="N54:S54"/>
    <mergeCell ref="I57:J57"/>
    <mergeCell ref="L57:S57"/>
    <mergeCell ref="A61:C61"/>
    <mergeCell ref="A62:C62"/>
    <mergeCell ref="A53:G53"/>
    <mergeCell ref="I53:J53"/>
    <mergeCell ref="N52:S52"/>
    <mergeCell ref="A54:H54"/>
    <mergeCell ref="I54:J54"/>
    <mergeCell ref="A56:H56"/>
    <mergeCell ref="I56:J56"/>
    <mergeCell ref="N55:S55"/>
    <mergeCell ref="N56:S56"/>
    <mergeCell ref="A50:G50"/>
    <mergeCell ref="I50:J50"/>
    <mergeCell ref="A51:G51"/>
    <mergeCell ref="I51:J51"/>
    <mergeCell ref="E45:G45"/>
    <mergeCell ref="A48:G48"/>
    <mergeCell ref="I48:J48"/>
    <mergeCell ref="A52:G52"/>
    <mergeCell ref="I52:J52"/>
    <mergeCell ref="L48:S49"/>
    <mergeCell ref="A49:G49"/>
    <mergeCell ref="I49:J49"/>
    <mergeCell ref="E39:G39"/>
    <mergeCell ref="E40:G40"/>
    <mergeCell ref="E41:G41"/>
    <mergeCell ref="E42:G42"/>
    <mergeCell ref="E43:G43"/>
    <mergeCell ref="E44:G44"/>
    <mergeCell ref="E38:G38"/>
    <mergeCell ref="E27:G27"/>
    <mergeCell ref="E28:G28"/>
    <mergeCell ref="E29:G29"/>
    <mergeCell ref="E30:G30"/>
    <mergeCell ref="E31:G31"/>
    <mergeCell ref="E32:G32"/>
    <mergeCell ref="E33:G33"/>
    <mergeCell ref="E34:G34"/>
    <mergeCell ref="E35:G35"/>
    <mergeCell ref="E36:G36"/>
    <mergeCell ref="E37:G37"/>
    <mergeCell ref="E18:G18"/>
    <mergeCell ref="E19:G19"/>
    <mergeCell ref="E20:G20"/>
    <mergeCell ref="E21:G21"/>
    <mergeCell ref="E22:G22"/>
    <mergeCell ref="E23:G23"/>
    <mergeCell ref="E24:G24"/>
    <mergeCell ref="E25:G25"/>
    <mergeCell ref="M12:M13"/>
    <mergeCell ref="N14:O14"/>
    <mergeCell ref="X12:AI12"/>
    <mergeCell ref="AJ12:AN12"/>
    <mergeCell ref="AO12:AS12"/>
    <mergeCell ref="AT12:AX12"/>
    <mergeCell ref="AY12:BC12"/>
    <mergeCell ref="BP12:BZ12"/>
    <mergeCell ref="BD12:BH12"/>
    <mergeCell ref="BI12:BM12"/>
    <mergeCell ref="P12:U12"/>
    <mergeCell ref="CU12:CY12"/>
    <mergeCell ref="CZ12:DD12"/>
    <mergeCell ref="A2:D3"/>
    <mergeCell ref="A9:U9"/>
    <mergeCell ref="A10:D10"/>
    <mergeCell ref="E10:G10"/>
    <mergeCell ref="I10:J10"/>
    <mergeCell ref="K10:L10"/>
    <mergeCell ref="N10:O10"/>
    <mergeCell ref="E2:Q3"/>
    <mergeCell ref="A11:M11"/>
    <mergeCell ref="P11:U11"/>
    <mergeCell ref="E12:G14"/>
    <mergeCell ref="I12:J12"/>
    <mergeCell ref="K12:K13"/>
    <mergeCell ref="L12:L13"/>
    <mergeCell ref="N11:O11"/>
    <mergeCell ref="CA12:CT12"/>
    <mergeCell ref="A13:D14"/>
    <mergeCell ref="H13:H14"/>
    <mergeCell ref="I14:M14"/>
    <mergeCell ref="P14:R14"/>
    <mergeCell ref="S14:U14"/>
    <mergeCell ref="N12:O12"/>
    <mergeCell ref="I5:J5"/>
    <mergeCell ref="H61:I61"/>
    <mergeCell ref="H62:I62"/>
    <mergeCell ref="A4:H4"/>
    <mergeCell ref="A7:B7"/>
    <mergeCell ref="C7:D7"/>
    <mergeCell ref="E7:F7"/>
    <mergeCell ref="G7:H7"/>
    <mergeCell ref="A8:B8"/>
    <mergeCell ref="C8:D8"/>
    <mergeCell ref="E8:F8"/>
    <mergeCell ref="G8:H8"/>
    <mergeCell ref="A5:B5"/>
    <mergeCell ref="C5:D5"/>
    <mergeCell ref="E5:F5"/>
    <mergeCell ref="G5:H5"/>
    <mergeCell ref="A6:B6"/>
    <mergeCell ref="C6:D6"/>
    <mergeCell ref="E6:F6"/>
    <mergeCell ref="G6:H6"/>
    <mergeCell ref="E26:G26"/>
    <mergeCell ref="E15:G15"/>
    <mergeCell ref="E16:G16"/>
    <mergeCell ref="E17:G17"/>
  </mergeCells>
  <phoneticPr fontId="4" type="noConversion"/>
  <conditionalFormatting sqref="A15:H15 D16:H37 A16:C45 D38:E38 H38 D39:H45">
    <cfRule type="expression" dxfId="1256" priority="27">
      <formula>OR($C15="Orlov")</formula>
    </cfRule>
    <cfRule type="expression" dxfId="1255" priority="2" stopIfTrue="1">
      <formula>OR($C15="Normal uge 6")</formula>
    </cfRule>
    <cfRule type="expression" dxfId="1254" priority="3" stopIfTrue="1">
      <formula>OR($C15="Normal uge 5")</formula>
    </cfRule>
    <cfRule type="expression" dxfId="1253" priority="41" stopIfTrue="1">
      <formula>OR($C15="Rul 2")</formula>
    </cfRule>
    <cfRule type="expression" dxfId="1252" priority="40">
      <formula>OR($C15="weekend")</formula>
    </cfRule>
    <cfRule type="expression" dxfId="1251" priority="39">
      <formula>OR($C15="feriedag")</formula>
    </cfRule>
    <cfRule type="expression" dxfId="1250" priority="38">
      <formula>OR($C15="Ferieåbning")</formula>
    </cfRule>
    <cfRule type="expression" dxfId="1249" priority="37">
      <formula>OR($C15="Anderledes dag")</formula>
    </cfRule>
    <cfRule type="expression" dxfId="1248" priority="36">
      <formula>OR($C15="Koloni")</formula>
    </cfRule>
    <cfRule type="expression" dxfId="1247" priority="35">
      <formula>OR($C15="ekskursion")</formula>
    </cfRule>
    <cfRule type="expression" dxfId="1246" priority="34">
      <formula>OR($C15="SH-dag")</formula>
    </cfRule>
    <cfRule type="expression" dxfId="1245" priority="33">
      <formula>OR($C15="nul-dag")</formula>
    </cfRule>
    <cfRule type="expression" dxfId="1244" priority="16" stopIfTrue="1">
      <formula>OR($C15="Rul 6")</formula>
    </cfRule>
    <cfRule type="expression" dxfId="1243" priority="17" stopIfTrue="1">
      <formula>OR($C15="Rul 5")</formula>
    </cfRule>
    <cfRule type="expression" dxfId="1242" priority="18" stopIfTrue="1">
      <formula>OR($C15="Rul 4")</formula>
    </cfRule>
    <cfRule type="expression" dxfId="1241" priority="19" stopIfTrue="1">
      <formula>OR($C15="Rul 3")</formula>
    </cfRule>
    <cfRule type="expression" dxfId="1240" priority="20" stopIfTrue="1">
      <formula>OR($C15="Rul 1")</formula>
    </cfRule>
    <cfRule type="expression" dxfId="1239" priority="21">
      <formula>OR($C15="Normal uge 1")</formula>
    </cfRule>
    <cfRule type="expression" dxfId="1238" priority="32">
      <formula>OR($C15="pæd.dag")</formula>
    </cfRule>
    <cfRule type="expression" dxfId="1237" priority="31">
      <formula>OR($C15="Ikke relevant")</formula>
    </cfRule>
    <cfRule type="expression" dxfId="1236" priority="30">
      <formula>OR($C15="Normal uge 4")</formula>
    </cfRule>
    <cfRule type="expression" dxfId="1235" priority="29">
      <formula>OR($C15="Normal uge 3")</formula>
    </cfRule>
    <cfRule type="expression" dxfId="1234" priority="28">
      <formula>OR($C15="Normal uge 2")</formula>
    </cfRule>
  </conditionalFormatting>
  <conditionalFormatting sqref="E26">
    <cfRule type="expression" dxfId="1233" priority="52">
      <formula>OR($D25="Ikke relevant")</formula>
    </cfRule>
    <cfRule type="expression" dxfId="1232" priority="42">
      <formula>OR($D25="pæd.dag")</formula>
    </cfRule>
    <cfRule type="expression" dxfId="1231" priority="50">
      <formula>OR($D25="weekend")</formula>
    </cfRule>
    <cfRule type="expression" dxfId="1230" priority="49">
      <formula>OR($D25="feriedag")</formula>
    </cfRule>
    <cfRule type="expression" dxfId="1229" priority="48">
      <formula>OR($D25="fagdag")</formula>
    </cfRule>
    <cfRule type="expression" dxfId="1228" priority="47">
      <formula>OR($D25="emnedag")</formula>
    </cfRule>
    <cfRule type="expression" dxfId="1227" priority="46">
      <formula>OR($D25="lejrskole")</formula>
    </cfRule>
    <cfRule type="expression" dxfId="1226" priority="45">
      <formula>OR($D25="ekskursion")</formula>
    </cfRule>
    <cfRule type="expression" dxfId="1225" priority="44">
      <formula>OR($D25="SH-dag")</formula>
    </cfRule>
    <cfRule type="expression" dxfId="1224" priority="51" stopIfTrue="1">
      <formula>OR($D25="skoledag")</formula>
    </cfRule>
    <cfRule type="expression" dxfId="1223" priority="43">
      <formula>OR($D25="nul-dag")</formula>
    </cfRule>
  </conditionalFormatting>
  <conditionalFormatting sqref="I15:J45">
    <cfRule type="expression" dxfId="1222" priority="25">
      <formula>OR($C15="Koloni",)</formula>
    </cfRule>
    <cfRule type="expression" dxfId="1221" priority="15">
      <formula>OR($C15="Ferieåbning",)</formula>
    </cfRule>
    <cfRule type="expression" dxfId="1220" priority="14">
      <formula>OR($C15="Anderledes dag",)</formula>
    </cfRule>
    <cfRule type="expression" dxfId="1219" priority="13">
      <formula>OR($C15="Ekskursion",)</formula>
    </cfRule>
  </conditionalFormatting>
  <conditionalFormatting sqref="J15:J45">
    <cfRule type="expression" dxfId="1218" priority="26">
      <formula>OR($C15="Pæd.dag",)</formula>
    </cfRule>
  </conditionalFormatting>
  <conditionalFormatting sqref="M15:M45">
    <cfRule type="expression" dxfId="1217" priority="53">
      <formula>OR($H15&gt;"0",)</formula>
    </cfRule>
  </conditionalFormatting>
  <conditionalFormatting sqref="O15:O45">
    <cfRule type="expression" dxfId="1215" priority="8">
      <formula>OR($N15&gt;0,)</formula>
    </cfRule>
  </conditionalFormatting>
  <conditionalFormatting sqref="S15:S45">
    <cfRule type="expression" dxfId="1214" priority="24">
      <formula>OR($P15="X",)</formula>
    </cfRule>
  </conditionalFormatting>
  <conditionalFormatting sqref="T15:T45">
    <cfRule type="expression" dxfId="1213" priority="23">
      <formula>OR($Q15="X",)</formula>
    </cfRule>
  </conditionalFormatting>
  <conditionalFormatting sqref="T53:T56">
    <cfRule type="expression" dxfId="1212" priority="5">
      <formula>OR($L53&gt;0,)</formula>
    </cfRule>
  </conditionalFormatting>
  <conditionalFormatting sqref="U15:U45">
    <cfRule type="expression" dxfId="1211" priority="22">
      <formula>OR($R15="X",)</formula>
    </cfRule>
  </conditionalFormatting>
  <conditionalFormatting sqref="U53:U54 U56">
    <cfRule type="expression" dxfId="1210" priority="10">
      <formula>OR($M53&gt;0,)</formula>
    </cfRule>
  </conditionalFormatting>
  <conditionalFormatting sqref="U55:W55">
    <cfRule type="expression" dxfId="1209" priority="6">
      <formula>OR($M55&gt;0,)</formula>
    </cfRule>
  </conditionalFormatting>
  <conditionalFormatting sqref="BN54 BN56:BN57">
    <cfRule type="expression" dxfId="1208" priority="1">
      <formula>OR(#REF!&gt;0,)</formula>
    </cfRule>
  </conditionalFormatting>
  <conditionalFormatting sqref="BP55">
    <cfRule type="expression" dxfId="1207" priority="7">
      <formula>OR(#REF!&gt;0,)</formula>
    </cfRule>
  </conditionalFormatting>
  <conditionalFormatting sqref="BR58">
    <cfRule type="expression" dxfId="1206" priority="54">
      <formula>OR(#REF!&gt;0,)</formula>
    </cfRule>
  </conditionalFormatting>
  <dataValidations count="3">
    <dataValidation type="list" allowBlank="1" showInputMessage="1" sqref="C15:C45" xr:uid="{A0C9D8D3-D4DF-5B4D-B5A6-3373AAAA764F}">
      <formula1>$A$60:$A$82</formula1>
    </dataValidation>
    <dataValidation type="list" allowBlank="1" showInputMessage="1" showErrorMessage="1" sqref="R15:R43 P15:Q45 L53:M54 L56:M56" xr:uid="{8A0B736C-8B7D-1A4A-9E88-9C9F1DB6A69F}">
      <formula1>$Y$1:$Y$2</formula1>
    </dataValidation>
    <dataValidation type="list" allowBlank="1" showInputMessage="1" showErrorMessage="1" sqref="L55:M55" xr:uid="{AC03D975-88D2-B04C-8103-B2C185AF9244}">
      <formula1>$AA$1:$AA$2</formula1>
    </dataValidation>
  </dataValidations>
  <hyperlinks>
    <hyperlink ref="A5:B5" location="'Normal uger'!A11" display="Normale uger" xr:uid="{5D5CF890-EA62-E940-A020-6AAA9031DE47}"/>
    <hyperlink ref="C5:D5" location="Rul!B20" display="Rul" xr:uid="{D2FB5BAD-FAD2-BE44-80D9-CD4E62376522}"/>
    <hyperlink ref="E5:F5" location="Arbejdstidsoversigt!A19" display="Arbejdstids-oversigt" xr:uid="{859403F0-F463-8A46-92DF-22D0B14B6263}"/>
    <hyperlink ref="G5:H5" location="Opgørelse!B12" display="Opgørelse" xr:uid="{2D8FE53E-008D-7847-87CC-027EEB4B374E}"/>
    <hyperlink ref="A6:B6" location="August!A12" display="August" xr:uid="{0580A78F-183B-E44F-93DE-5EA0100A855A}"/>
    <hyperlink ref="C6:D6" location="September!A8" display="September" xr:uid="{5C0334C9-CCDC-6541-9C17-FAAF8FA7A673}"/>
    <hyperlink ref="E6:F6" location="Oktober!A8" display="Oktober" xr:uid="{583981D1-686B-AB43-B0DB-03DC14A23023}"/>
    <hyperlink ref="G6:H6" location="November!A8" display="November" xr:uid="{58276827-A074-0A44-92FD-DF1D7BA8E8FE}"/>
    <hyperlink ref="A7:B7" location="December!A8" display="December" xr:uid="{CE53C62F-8644-A948-B9EE-7AC5025E06CE}"/>
    <hyperlink ref="C7:D7" location="Januar!A8" display="Januar" xr:uid="{3B115242-EE60-FE4F-9EAD-95BEAFB59463}"/>
    <hyperlink ref="E7:F7" location="Februar!A8" display="Februar" xr:uid="{462475BE-7CC7-5442-8933-C73D8A89FCF1}"/>
    <hyperlink ref="A8:B8" location="April!A8" display="April" xr:uid="{3BA24E2A-624E-EC40-88BF-ACF319FD8590}"/>
    <hyperlink ref="C8:D8" location="Maj!A8" display="Maj" xr:uid="{154E684B-1559-FE46-A842-F489C7F185E5}"/>
    <hyperlink ref="E8:F8" location="Juni!A8" display="Juni" xr:uid="{D4367225-FAD4-E64D-B8A2-C40F3D82167E}"/>
    <hyperlink ref="G8:H8" location="Juli!A8" display="Juli" xr:uid="{AF219483-5239-5144-BEF6-06E927199C26}"/>
    <hyperlink ref="G7:H7" location="Marts!A8" display="Marts" xr:uid="{FD0BABB7-2CFA-334A-A13F-B6BD095C55D4}"/>
    <hyperlink ref="I5:J5" location="Stamoplysninger!E18" display="Stamoplysninger" xr:uid="{034BAAD4-58B6-A844-A8D3-B3B43EE7298E}"/>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6DCCBB64-5E73-D645-83BF-79AEC7F8C7BB}">
            <xm:f>OR(Arbejdstidsoversigt!$H$54="Puljetimer registreres ikke men afvikles jævnt hen over normperioden",)</xm:f>
            <x14:dxf>
              <fill>
                <patternFill>
                  <bgColor theme="1"/>
                </patternFill>
              </fill>
            </x14:dxf>
          </x14:cfRule>
          <xm:sqref>N15:N45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067C-B256-B442-8106-855E0666829C}">
  <sheetPr>
    <tabColor theme="4" tint="-0.249977111117893"/>
    <pageSetUpPr fitToPage="1"/>
  </sheetPr>
  <dimension ref="A1:DR124"/>
  <sheetViews>
    <sheetView topLeftCell="A13" zoomScaleNormal="100" workbookViewId="0">
      <selection activeCell="M42" sqref="M42"/>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2" width="10.83203125" hidden="1" customWidth="1"/>
    <col min="123" max="132" width="0" hidden="1"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27" customHeight="1">
      <c r="A2" s="886">
        <v>1</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Januar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131</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5" si="0">CHOOSE(MOD(WEEKDAY(DATE(A$12,A$2,A15)),7)+1,"lø","sø","ma","ti","on","to","fr",)</f>
        <v>to</v>
      </c>
      <c r="C15" s="73" t="s">
        <v>76</v>
      </c>
      <c r="D15" s="74" t="str">
        <f t="shared" ref="D15:D45" si="1">IF(B15="ma",(DATE(A$12,A$2,A15)-DATE(A$12,1,1)+7)/7,"")</f>
        <v/>
      </c>
      <c r="E15" s="858" t="s">
        <v>84</v>
      </c>
      <c r="F15" s="859"/>
      <c r="G15" s="860"/>
      <c r="H15" s="175"/>
      <c r="I15" s="221"/>
      <c r="J15" s="221"/>
      <c r="K15" s="191">
        <f>BN15</f>
        <v>0</v>
      </c>
      <c r="L15" s="191">
        <f>DE15</f>
        <v>0</v>
      </c>
      <c r="M15" s="238"/>
      <c r="N15" s="357"/>
      <c r="O15" s="408"/>
      <c r="P15" s="195"/>
      <c r="Q15" s="196"/>
      <c r="R15" s="196"/>
      <c r="S15" s="192"/>
      <c r="T15" s="255"/>
      <c r="U15" s="193"/>
      <c r="V15">
        <f>IF($P$15="x",S15-K15,0)</f>
        <v>0</v>
      </c>
      <c r="W15">
        <f t="shared" ref="W15:W45" si="2">IF(Q15="x",T15-L15,0)</f>
        <v>0</v>
      </c>
      <c r="X15" s="358">
        <f>IF($C$15="Anderledes dag",$I$15,0)</f>
        <v>0</v>
      </c>
      <c r="Y15" s="358">
        <f>IF(C15="Ferieåbning",I15,0)</f>
        <v>0</v>
      </c>
      <c r="Z15" s="358">
        <f t="shared" ref="Z15:Z45"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5" si="4">SUM(AJ15:AN15)*24</f>
        <v>0</v>
      </c>
      <c r="BP15" s="358">
        <f t="shared" ref="BP15:BP45" si="5">IF(C15="Anderledes dag",J15,0)</f>
        <v>0</v>
      </c>
      <c r="BQ15" s="358">
        <f t="shared" ref="BQ15:BQ45" si="6">IF(C15="Ferieåbning",J15,0)</f>
        <v>0</v>
      </c>
      <c r="BR15" s="358">
        <f t="shared" ref="BR15:BR45" si="7">IF(C15="Pæd.dag",J15,0)</f>
        <v>0</v>
      </c>
      <c r="BS15" s="358">
        <f t="shared" ref="BS15:BS45" si="8">IF(C15="Ekskursion",J15,0)</f>
        <v>0</v>
      </c>
      <c r="BT15" s="358">
        <f t="shared" ref="BT15:BT45"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5" si="10">IF(AND(E15&gt;0,H15&gt;0),""&amp;E15&amp;" og "&amp;H15&amp;"","")</f>
        <v/>
      </c>
      <c r="DG15" t="str">
        <f t="shared" ref="DG15:DG45" si="11">IF(H15="",E15,"")</f>
        <v>Nytårsdag</v>
      </c>
      <c r="DH15" t="str">
        <f t="shared" ref="DH15:DH45" si="12">IF(E15="",H15,"")</f>
        <v/>
      </c>
      <c r="DI15" t="str">
        <f t="shared" ref="DI15:DK46" si="13">IF(DF15=0,"",DF15)</f>
        <v/>
      </c>
      <c r="DJ15" t="str">
        <f>IF(DG15=0,"",DG15)</f>
        <v>Nytårsdag</v>
      </c>
      <c r="DK15" t="str">
        <f>IF(DH15=0,"",DH15)</f>
        <v/>
      </c>
      <c r="DL15" t="str">
        <f>DI15&amp;""&amp;DJ15&amp;""&amp;DK15</f>
        <v>Nytårsdag</v>
      </c>
    </row>
    <row r="16" spans="1:116">
      <c r="A16" s="135">
        <f t="shared" ref="A16:A44" si="14">IF(ISNUMBER(A15),A15+1,1)</f>
        <v>2</v>
      </c>
      <c r="B16" s="72" t="str">
        <f t="shared" si="0"/>
        <v>fr</v>
      </c>
      <c r="C16" s="73" t="s">
        <v>217</v>
      </c>
      <c r="D16" s="74" t="str">
        <f t="shared" si="1"/>
        <v/>
      </c>
      <c r="E16" s="858"/>
      <c r="F16" s="859"/>
      <c r="G16" s="860"/>
      <c r="H16" s="175"/>
      <c r="I16" s="221"/>
      <c r="J16" s="221"/>
      <c r="K16" s="191">
        <f t="shared" ref="K16:K45" si="15">BN16</f>
        <v>0</v>
      </c>
      <c r="L16" s="191">
        <f t="shared" ref="L16:L45" si="16">DE16</f>
        <v>0</v>
      </c>
      <c r="M16" s="238"/>
      <c r="N16" s="357"/>
      <c r="O16" s="408"/>
      <c r="P16" s="195"/>
      <c r="Q16" s="196"/>
      <c r="R16" s="196"/>
      <c r="S16" s="192"/>
      <c r="T16" s="255"/>
      <c r="U16" s="193"/>
      <c r="V16">
        <f t="shared" ref="V16:V45" si="17">IF(P16="x",S16-K16,0)</f>
        <v>0</v>
      </c>
      <c r="W16">
        <f t="shared" si="2"/>
        <v>0</v>
      </c>
      <c r="X16" s="358">
        <f t="shared" ref="X16:X45" si="18">IF(C16="Anderledes dag",I16,0)</f>
        <v>0</v>
      </c>
      <c r="Y16" s="358">
        <f t="shared" ref="Y16:Y45" si="19">IF(C16="Ferieåbning",I16,0)</f>
        <v>0</v>
      </c>
      <c r="Z16" s="358">
        <f t="shared" si="3"/>
        <v>0</v>
      </c>
      <c r="AA16" s="358">
        <f t="shared" ref="AA16:AA45" si="20">IF(C16="Ekskursion",I16,0)</f>
        <v>0</v>
      </c>
      <c r="AB16" s="358">
        <f t="shared" ref="AB16:AB45"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5" si="23">SUM(BP16:DD16)</f>
        <v>0</v>
      </c>
      <c r="DF16" t="str">
        <f t="shared" si="10"/>
        <v/>
      </c>
      <c r="DG16">
        <f t="shared" si="11"/>
        <v>0</v>
      </c>
      <c r="DH16">
        <f t="shared" si="12"/>
        <v>0</v>
      </c>
      <c r="DI16" t="str">
        <f t="shared" si="13"/>
        <v/>
      </c>
      <c r="DJ16" t="str">
        <f t="shared" si="13"/>
        <v/>
      </c>
      <c r="DK16" t="str">
        <f t="shared" si="13"/>
        <v/>
      </c>
      <c r="DL16" t="str">
        <f t="shared" ref="DL16:DL45" si="24">DI16&amp;""&amp;DJ16&amp;""&amp;DK16</f>
        <v/>
      </c>
    </row>
    <row r="17" spans="1:116">
      <c r="A17" s="135">
        <f t="shared" si="14"/>
        <v>3</v>
      </c>
      <c r="B17" s="72" t="str">
        <f t="shared" si="0"/>
        <v>lø</v>
      </c>
      <c r="C17" s="73" t="s">
        <v>77</v>
      </c>
      <c r="D17" s="74" t="str">
        <f t="shared" si="1"/>
        <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sø</v>
      </c>
      <c r="C18" s="73" t="s">
        <v>77</v>
      </c>
      <c r="D18" s="74" t="str">
        <f t="shared" si="1"/>
        <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ma</v>
      </c>
      <c r="C19" s="73" t="s">
        <v>217</v>
      </c>
      <c r="D19" s="74">
        <f t="shared" si="1"/>
        <v>1.5714285714285714</v>
      </c>
      <c r="E19" s="858"/>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f t="shared" si="11"/>
        <v>0</v>
      </c>
      <c r="DH19">
        <f t="shared" si="12"/>
        <v>0</v>
      </c>
      <c r="DI19" t="str">
        <f t="shared" si="13"/>
        <v/>
      </c>
      <c r="DJ19" t="str">
        <f t="shared" si="13"/>
        <v/>
      </c>
      <c r="DK19" t="str">
        <f t="shared" si="13"/>
        <v/>
      </c>
      <c r="DL19" t="str">
        <f t="shared" si="24"/>
        <v/>
      </c>
    </row>
    <row r="20" spans="1:116" ht="16" customHeight="1">
      <c r="A20" s="135">
        <f t="shared" si="14"/>
        <v>6</v>
      </c>
      <c r="B20" s="72" t="str">
        <f t="shared" si="0"/>
        <v>ti</v>
      </c>
      <c r="C20" s="73" t="s">
        <v>217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on</v>
      </c>
      <c r="C21" s="73" t="s">
        <v>217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to</v>
      </c>
      <c r="C22" s="73" t="s">
        <v>217</v>
      </c>
      <c r="D22" s="74" t="str">
        <f t="shared" si="1"/>
        <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fr</v>
      </c>
      <c r="C23" s="73" t="s">
        <v>217</v>
      </c>
      <c r="D23" s="74" t="str">
        <f t="shared" si="1"/>
        <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lø</v>
      </c>
      <c r="C24" s="73" t="s">
        <v>77</v>
      </c>
      <c r="D24" s="74" t="str">
        <f t="shared" si="1"/>
        <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sø</v>
      </c>
      <c r="C25" s="73" t="s">
        <v>77</v>
      </c>
      <c r="D25" s="74" t="str">
        <f t="shared" si="1"/>
        <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ma</v>
      </c>
      <c r="C26" s="73" t="s">
        <v>217</v>
      </c>
      <c r="D26" s="74">
        <f t="shared" si="1"/>
        <v>2.5714285714285716</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ti</v>
      </c>
      <c r="C27" s="73" t="s">
        <v>217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on</v>
      </c>
      <c r="C28" s="73" t="s">
        <v>217</v>
      </c>
      <c r="D28" s="74" t="str">
        <f t="shared" si="1"/>
        <v/>
      </c>
      <c r="E28" s="861"/>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15</v>
      </c>
      <c r="B29" s="72" t="str">
        <f t="shared" si="0"/>
        <v>to</v>
      </c>
      <c r="C29" s="73" t="s">
        <v>217</v>
      </c>
      <c r="D29" s="74" t="str">
        <f t="shared" si="1"/>
        <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fr</v>
      </c>
      <c r="C30" s="73" t="s">
        <v>217</v>
      </c>
      <c r="D30" s="74" t="str">
        <f t="shared" si="1"/>
        <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lø</v>
      </c>
      <c r="C31" s="73" t="s">
        <v>77</v>
      </c>
      <c r="D31" s="74" t="str">
        <f t="shared" si="1"/>
        <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sø</v>
      </c>
      <c r="C32" s="73" t="s">
        <v>77</v>
      </c>
      <c r="D32" s="74" t="str">
        <f t="shared" si="1"/>
        <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ma</v>
      </c>
      <c r="C33" s="73" t="s">
        <v>217</v>
      </c>
      <c r="D33" s="74">
        <f t="shared" si="1"/>
        <v>3.5714285714285716</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ti</v>
      </c>
      <c r="C34" s="73" t="s">
        <v>217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on</v>
      </c>
      <c r="C35" s="73" t="s">
        <v>217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to</v>
      </c>
      <c r="C36" s="73" t="s">
        <v>217</v>
      </c>
      <c r="D36" s="74" t="str">
        <f t="shared" si="1"/>
        <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fr</v>
      </c>
      <c r="C37" s="73" t="s">
        <v>217</v>
      </c>
      <c r="D37" s="74" t="str">
        <f t="shared" si="1"/>
        <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lø</v>
      </c>
      <c r="C38" s="73" t="s">
        <v>77</v>
      </c>
      <c r="D38" s="74" t="str">
        <f t="shared" si="1"/>
        <v/>
      </c>
      <c r="E38" s="861"/>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25</v>
      </c>
      <c r="B39" s="72" t="str">
        <f t="shared" si="0"/>
        <v>sø</v>
      </c>
      <c r="C39" s="73" t="s">
        <v>77</v>
      </c>
      <c r="D39" s="74" t="str">
        <f t="shared" si="1"/>
        <v/>
      </c>
      <c r="E39" s="858"/>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 t="shared" si="14"/>
        <v>26</v>
      </c>
      <c r="B40" s="72" t="str">
        <f t="shared" si="0"/>
        <v>ma</v>
      </c>
      <c r="C40" s="73" t="s">
        <v>217</v>
      </c>
      <c r="D40" s="74">
        <f t="shared" si="1"/>
        <v>4.5714285714285712</v>
      </c>
      <c r="E40" s="858"/>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f t="shared" si="11"/>
        <v>0</v>
      </c>
      <c r="DH40">
        <f t="shared" si="12"/>
        <v>0</v>
      </c>
      <c r="DI40" t="str">
        <f t="shared" si="13"/>
        <v/>
      </c>
      <c r="DJ40" t="str">
        <f t="shared" si="13"/>
        <v/>
      </c>
      <c r="DK40" t="str">
        <f t="shared" si="13"/>
        <v/>
      </c>
      <c r="DL40" t="str">
        <f t="shared" si="24"/>
        <v/>
      </c>
    </row>
    <row r="41" spans="1:116">
      <c r="A41" s="135">
        <f t="shared" si="14"/>
        <v>27</v>
      </c>
      <c r="B41" s="72" t="str">
        <f t="shared" si="0"/>
        <v>ti</v>
      </c>
      <c r="C41" s="73" t="s">
        <v>217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on</v>
      </c>
      <c r="C42" s="73" t="s">
        <v>217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c r="A43" s="135">
        <f>IF(ISNUMBER(A42),A42+1,1)</f>
        <v>29</v>
      </c>
      <c r="B43" s="72" t="str">
        <f t="shared" si="0"/>
        <v>to</v>
      </c>
      <c r="C43" s="73" t="s">
        <v>217</v>
      </c>
      <c r="D43" s="74" t="str">
        <f t="shared" si="1"/>
        <v/>
      </c>
      <c r="E43" s="858"/>
      <c r="F43" s="859"/>
      <c r="G43" s="860"/>
      <c r="H43" s="175"/>
      <c r="I43" s="221"/>
      <c r="J43" s="221"/>
      <c r="K43" s="191">
        <f t="shared" si="15"/>
        <v>0</v>
      </c>
      <c r="L43" s="191">
        <f t="shared" si="16"/>
        <v>0</v>
      </c>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10"/>
        <v/>
      </c>
      <c r="DG43">
        <f t="shared" si="11"/>
        <v>0</v>
      </c>
      <c r="DH43">
        <f t="shared" si="12"/>
        <v>0</v>
      </c>
      <c r="DI43" t="str">
        <f t="shared" si="13"/>
        <v/>
      </c>
      <c r="DJ43" t="str">
        <f t="shared" si="13"/>
        <v/>
      </c>
      <c r="DK43" t="str">
        <f t="shared" si="13"/>
        <v/>
      </c>
      <c r="DL43" t="str">
        <f t="shared" si="24"/>
        <v/>
      </c>
    </row>
    <row r="44" spans="1:116">
      <c r="A44" s="135">
        <f t="shared" si="14"/>
        <v>30</v>
      </c>
      <c r="B44" s="72" t="str">
        <f t="shared" si="0"/>
        <v>fr</v>
      </c>
      <c r="C44" s="73" t="s">
        <v>217</v>
      </c>
      <c r="D44" s="74" t="str">
        <f t="shared" si="1"/>
        <v/>
      </c>
      <c r="E44" s="858"/>
      <c r="F44" s="859"/>
      <c r="G44" s="860"/>
      <c r="H44" s="175"/>
      <c r="I44" s="221"/>
      <c r="J44" s="221"/>
      <c r="K44" s="191">
        <f t="shared" si="15"/>
        <v>0</v>
      </c>
      <c r="L44" s="191">
        <f t="shared" si="16"/>
        <v>0</v>
      </c>
      <c r="M44" s="238"/>
      <c r="N44" s="357"/>
      <c r="O44" s="408"/>
      <c r="P44" s="195"/>
      <c r="Q44" s="196"/>
      <c r="R44" s="254"/>
      <c r="S44" s="192"/>
      <c r="T44" s="255"/>
      <c r="U44" s="193"/>
      <c r="V44">
        <f t="shared" si="17"/>
        <v>0</v>
      </c>
      <c r="W44">
        <f t="shared" si="2"/>
        <v>0</v>
      </c>
      <c r="X44" s="358">
        <f t="shared" si="18"/>
        <v>0</v>
      </c>
      <c r="Y44" s="358">
        <f t="shared" si="19"/>
        <v>0</v>
      </c>
      <c r="Z44" s="358">
        <f t="shared" si="3"/>
        <v>0</v>
      </c>
      <c r="AA44" s="358">
        <f t="shared" si="20"/>
        <v>0</v>
      </c>
      <c r="AB44" s="358">
        <f t="shared" si="21"/>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2"/>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10"/>
        <v/>
      </c>
      <c r="DG44">
        <f t="shared" si="11"/>
        <v>0</v>
      </c>
      <c r="DH44">
        <f t="shared" si="12"/>
        <v>0</v>
      </c>
      <c r="DI44" t="str">
        <f t="shared" si="13"/>
        <v/>
      </c>
      <c r="DJ44" t="str">
        <f t="shared" si="13"/>
        <v/>
      </c>
      <c r="DK44" t="str">
        <f t="shared" si="13"/>
        <v/>
      </c>
      <c r="DL44" t="str">
        <f t="shared" si="24"/>
        <v/>
      </c>
    </row>
    <row r="45" spans="1:116">
      <c r="A45" s="135">
        <f>IF(ISNUMBER(A44),A44+1,1)</f>
        <v>31</v>
      </c>
      <c r="B45" s="72" t="str">
        <f t="shared" si="0"/>
        <v>lø</v>
      </c>
      <c r="C45" s="73" t="s">
        <v>77</v>
      </c>
      <c r="D45" s="74" t="str">
        <f t="shared" si="1"/>
        <v/>
      </c>
      <c r="E45" s="861"/>
      <c r="F45" s="862"/>
      <c r="G45" s="863"/>
      <c r="H45" s="174"/>
      <c r="I45" s="221"/>
      <c r="J45" s="221"/>
      <c r="K45" s="191">
        <f t="shared" si="15"/>
        <v>0</v>
      </c>
      <c r="L45" s="191">
        <f t="shared" si="16"/>
        <v>0</v>
      </c>
      <c r="M45" s="238"/>
      <c r="N45" s="357"/>
      <c r="O45" s="408"/>
      <c r="P45" s="195"/>
      <c r="Q45" s="196"/>
      <c r="R45" s="118"/>
      <c r="S45" s="192"/>
      <c r="T45" s="255"/>
      <c r="U45" s="256"/>
      <c r="V45">
        <f t="shared" si="17"/>
        <v>0</v>
      </c>
      <c r="W45">
        <f t="shared" si="2"/>
        <v>0</v>
      </c>
      <c r="X45" s="358">
        <f t="shared" si="18"/>
        <v>0</v>
      </c>
      <c r="Y45" s="358">
        <f t="shared" si="19"/>
        <v>0</v>
      </c>
      <c r="Z45" s="358">
        <f t="shared" si="3"/>
        <v>0</v>
      </c>
      <c r="AA45" s="358">
        <f t="shared" si="20"/>
        <v>0</v>
      </c>
      <c r="AB45" s="358">
        <f t="shared" si="21"/>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 t="shared" ref="BN45" si="25">SUM(X45:BC45)</f>
        <v>0</v>
      </c>
      <c r="BO45" s="125">
        <f t="shared" si="4"/>
        <v>0</v>
      </c>
      <c r="BP45" s="358">
        <f t="shared" si="5"/>
        <v>0</v>
      </c>
      <c r="BQ45" s="358">
        <f t="shared" si="6"/>
        <v>0</v>
      </c>
      <c r="BR45" s="358">
        <f t="shared" si="7"/>
        <v>0</v>
      </c>
      <c r="BS45" s="358">
        <f t="shared" si="8"/>
        <v>0</v>
      </c>
      <c r="BT45" s="358">
        <f t="shared" si="9"/>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3"/>
        <v>0</v>
      </c>
      <c r="DF45" t="str">
        <f t="shared" si="10"/>
        <v/>
      </c>
      <c r="DG45">
        <f t="shared" si="11"/>
        <v>0</v>
      </c>
      <c r="DH45">
        <f t="shared" si="12"/>
        <v>0</v>
      </c>
      <c r="DI45" t="str">
        <f t="shared" si="13"/>
        <v/>
      </c>
      <c r="DJ45" t="str">
        <f t="shared" si="13"/>
        <v/>
      </c>
      <c r="DK45" t="str">
        <f t="shared" si="13"/>
        <v/>
      </c>
      <c r="DL45" t="str">
        <f t="shared" si="24"/>
        <v/>
      </c>
    </row>
    <row r="46" spans="1:116" ht="17" thickBot="1">
      <c r="A46" s="368" t="s">
        <v>127</v>
      </c>
      <c r="B46" s="369"/>
      <c r="C46" s="369"/>
      <c r="D46" s="369"/>
      <c r="E46" s="369"/>
      <c r="F46" s="369"/>
      <c r="G46" s="369"/>
      <c r="H46" s="369"/>
      <c r="I46" s="194"/>
      <c r="J46" s="194"/>
      <c r="K46" s="194">
        <f>SUM(K15:K45)</f>
        <v>0</v>
      </c>
      <c r="L46" s="194">
        <f t="shared" ref="L46" si="26">SUM(L15:L45)</f>
        <v>0</v>
      </c>
      <c r="M46"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1"/>
      <c r="O46" s="412">
        <f>SUM(O15:O45)</f>
        <v>0</v>
      </c>
      <c r="P46" s="249"/>
      <c r="Q46" s="250"/>
      <c r="R46" s="250"/>
      <c r="S46"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8">
        <f>W15+W16+W17+W18+W19+W20+W21+W22+W23+W24+W25+W26+W27+W28+W29+W30+W31+W32+W33+W34+W35+W36+W37+W38+W39+W40+W41+W42+W43+W44+W45</f>
        <v>0</v>
      </c>
      <c r="X46" s="129">
        <f t="shared" ref="X46:AC46" si="27">SUM(X15:X45)</f>
        <v>0</v>
      </c>
      <c r="Y46" s="129">
        <f t="shared" si="27"/>
        <v>0</v>
      </c>
      <c r="Z46" s="129">
        <f t="shared" si="27"/>
        <v>0</v>
      </c>
      <c r="AA46" s="129">
        <f t="shared" si="27"/>
        <v>0</v>
      </c>
      <c r="AB46" s="129">
        <f t="shared" si="27"/>
        <v>0</v>
      </c>
      <c r="AC46" s="129">
        <f t="shared" si="27"/>
        <v>0</v>
      </c>
      <c r="AD46">
        <f t="shared" ref="AD46:BM46" si="28">COUNTIF(AD15:AD45,"&gt;0")</f>
        <v>0</v>
      </c>
      <c r="AE46">
        <f t="shared" si="28"/>
        <v>0</v>
      </c>
      <c r="AF46">
        <f t="shared" si="28"/>
        <v>0</v>
      </c>
      <c r="AG46">
        <f t="shared" si="28"/>
        <v>0</v>
      </c>
      <c r="AH46">
        <f t="shared" si="28"/>
        <v>0</v>
      </c>
      <c r="AI46">
        <f t="shared" si="28"/>
        <v>0</v>
      </c>
      <c r="AJ46">
        <f t="shared" si="28"/>
        <v>0</v>
      </c>
      <c r="AK46">
        <f t="shared" si="28"/>
        <v>0</v>
      </c>
      <c r="AL46">
        <f t="shared" si="28"/>
        <v>0</v>
      </c>
      <c r="AM46">
        <f t="shared" si="28"/>
        <v>0</v>
      </c>
      <c r="AN46">
        <f t="shared" si="28"/>
        <v>0</v>
      </c>
      <c r="AO46">
        <f t="shared" si="28"/>
        <v>0</v>
      </c>
      <c r="AP46">
        <f t="shared" si="28"/>
        <v>0</v>
      </c>
      <c r="AQ46">
        <f t="shared" si="28"/>
        <v>0</v>
      </c>
      <c r="AR46">
        <f t="shared" si="28"/>
        <v>0</v>
      </c>
      <c r="AS46">
        <f t="shared" si="28"/>
        <v>0</v>
      </c>
      <c r="AT46">
        <f t="shared" si="28"/>
        <v>0</v>
      </c>
      <c r="AU46">
        <f t="shared" si="28"/>
        <v>0</v>
      </c>
      <c r="AV46">
        <f t="shared" si="28"/>
        <v>0</v>
      </c>
      <c r="AW46">
        <f t="shared" si="28"/>
        <v>0</v>
      </c>
      <c r="AX46">
        <f t="shared" si="28"/>
        <v>0</v>
      </c>
      <c r="AY46">
        <f t="shared" si="28"/>
        <v>0</v>
      </c>
      <c r="AZ46">
        <f t="shared" si="28"/>
        <v>0</v>
      </c>
      <c r="BA46">
        <f t="shared" si="28"/>
        <v>0</v>
      </c>
      <c r="BB46">
        <f t="shared" si="28"/>
        <v>0</v>
      </c>
      <c r="BC46">
        <f t="shared" si="28"/>
        <v>0</v>
      </c>
      <c r="BD46">
        <f t="shared" si="28"/>
        <v>0</v>
      </c>
      <c r="BE46">
        <f t="shared" si="28"/>
        <v>0</v>
      </c>
      <c r="BF46">
        <f t="shared" si="28"/>
        <v>0</v>
      </c>
      <c r="BG46">
        <f t="shared" si="28"/>
        <v>0</v>
      </c>
      <c r="BH46">
        <f t="shared" si="28"/>
        <v>0</v>
      </c>
      <c r="BI46">
        <f t="shared" si="28"/>
        <v>0</v>
      </c>
      <c r="BJ46">
        <f t="shared" si="28"/>
        <v>0</v>
      </c>
      <c r="BK46">
        <f t="shared" si="28"/>
        <v>0</v>
      </c>
      <c r="BL46">
        <f t="shared" si="28"/>
        <v>0</v>
      </c>
      <c r="BM46">
        <f t="shared" si="28"/>
        <v>0</v>
      </c>
      <c r="BN46" s="1">
        <f>SUM(BN15:BN45)</f>
        <v>0</v>
      </c>
      <c r="BO46" s="62"/>
      <c r="BP46" s="129">
        <f t="shared" ref="BP46:BT46" si="29">SUM(BP15:BP45)</f>
        <v>0</v>
      </c>
      <c r="BQ46" s="129">
        <f t="shared" si="29"/>
        <v>0</v>
      </c>
      <c r="BR46" s="129">
        <f t="shared" si="29"/>
        <v>0</v>
      </c>
      <c r="BS46" s="129">
        <f t="shared" si="29"/>
        <v>0</v>
      </c>
      <c r="BT46" s="129">
        <f t="shared" si="29"/>
        <v>0</v>
      </c>
      <c r="BU46" s="129"/>
      <c r="BV46" s="129"/>
      <c r="BW46" s="129"/>
      <c r="BX46" s="129"/>
      <c r="BY46" s="129"/>
      <c r="BZ46" s="129"/>
      <c r="CA46">
        <f t="shared" ref="CA46:DD46" si="30">COUNTIF(CA15:CA45,"&gt;0")</f>
        <v>0</v>
      </c>
      <c r="CB46">
        <f t="shared" si="30"/>
        <v>0</v>
      </c>
      <c r="CC46">
        <f t="shared" si="30"/>
        <v>0</v>
      </c>
      <c r="CD46">
        <f t="shared" si="30"/>
        <v>0</v>
      </c>
      <c r="CE46">
        <f t="shared" si="30"/>
        <v>0</v>
      </c>
      <c r="CF46">
        <f t="shared" si="30"/>
        <v>0</v>
      </c>
      <c r="CG46">
        <f t="shared" si="30"/>
        <v>0</v>
      </c>
      <c r="CH46">
        <f t="shared" si="30"/>
        <v>0</v>
      </c>
      <c r="CI46">
        <f t="shared" si="30"/>
        <v>0</v>
      </c>
      <c r="CJ46">
        <f t="shared" si="30"/>
        <v>0</v>
      </c>
      <c r="CK46">
        <f t="shared" si="30"/>
        <v>0</v>
      </c>
      <c r="CL46">
        <f t="shared" si="30"/>
        <v>0</v>
      </c>
      <c r="CM46">
        <f t="shared" si="30"/>
        <v>0</v>
      </c>
      <c r="CN46">
        <f t="shared" si="30"/>
        <v>0</v>
      </c>
      <c r="CO46">
        <f t="shared" si="30"/>
        <v>0</v>
      </c>
      <c r="CP46">
        <f t="shared" si="30"/>
        <v>0</v>
      </c>
      <c r="CQ46">
        <f t="shared" si="30"/>
        <v>0</v>
      </c>
      <c r="CR46">
        <f t="shared" si="30"/>
        <v>0</v>
      </c>
      <c r="CS46">
        <f t="shared" si="30"/>
        <v>0</v>
      </c>
      <c r="CT46">
        <f t="shared" si="30"/>
        <v>0</v>
      </c>
      <c r="CU46">
        <f t="shared" si="30"/>
        <v>0</v>
      </c>
      <c r="CV46">
        <f t="shared" si="30"/>
        <v>0</v>
      </c>
      <c r="CW46">
        <f t="shared" si="30"/>
        <v>0</v>
      </c>
      <c r="CX46">
        <f t="shared" si="30"/>
        <v>0</v>
      </c>
      <c r="CY46">
        <f t="shared" si="30"/>
        <v>0</v>
      </c>
      <c r="CZ46">
        <f t="shared" si="30"/>
        <v>0</v>
      </c>
      <c r="DA46">
        <f t="shared" si="30"/>
        <v>0</v>
      </c>
      <c r="DB46">
        <f t="shared" si="30"/>
        <v>0</v>
      </c>
      <c r="DC46">
        <f t="shared" si="30"/>
        <v>0</v>
      </c>
      <c r="DD46">
        <f t="shared" si="30"/>
        <v>0</v>
      </c>
      <c r="DJ46" t="str">
        <f t="shared" si="13"/>
        <v/>
      </c>
      <c r="DK46" t="str">
        <f t="shared" si="13"/>
        <v/>
      </c>
      <c r="DL46" t="str">
        <f t="shared" ref="DL46" si="31">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7"/>
      <c r="AA47" s="137"/>
      <c r="AB47" s="115"/>
      <c r="AC47" s="129"/>
      <c r="AD47" s="115"/>
      <c r="AE47" s="115"/>
      <c r="AF47" s="129"/>
      <c r="AG47" s="129"/>
      <c r="AH47" s="129"/>
      <c r="AI47" s="129"/>
      <c r="AJ47" s="129"/>
      <c r="AK47" s="129"/>
      <c r="AL47" s="129"/>
      <c r="AM47" s="129"/>
      <c r="AN47" s="129"/>
      <c r="AO47" s="129"/>
      <c r="BR47" s="257"/>
      <c r="BS47" s="137"/>
      <c r="BT47" s="137"/>
      <c r="BU47" s="129"/>
      <c r="BV47" s="115"/>
      <c r="BW47" s="129"/>
      <c r="BX47" s="129"/>
      <c r="BY47" s="129"/>
      <c r="BZ47" s="129"/>
      <c r="CA47" s="34">
        <f>IF(OR(CA15&gt;0.1,AJ15&gt;0),1,0)+IF(OR(CA16&gt;0.1,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f>
        <v>0</v>
      </c>
      <c r="CB47" s="34">
        <f t="shared" ref="CB47:DD47" si="32">IF(OR(CB15&gt;0.1,AK15&gt;0),1,0)+IF(OR(CB16&gt;0.1,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f>
        <v>0</v>
      </c>
      <c r="CC47" s="34">
        <f t="shared" si="32"/>
        <v>0</v>
      </c>
      <c r="CD47" s="34">
        <f t="shared" si="32"/>
        <v>0</v>
      </c>
      <c r="CE47" s="34">
        <f t="shared" si="32"/>
        <v>0</v>
      </c>
      <c r="CF47" s="34">
        <f t="shared" si="32"/>
        <v>0</v>
      </c>
      <c r="CG47" s="34">
        <f t="shared" si="32"/>
        <v>0</v>
      </c>
      <c r="CH47" s="34">
        <f t="shared" si="32"/>
        <v>0</v>
      </c>
      <c r="CI47" s="34">
        <f t="shared" si="32"/>
        <v>0</v>
      </c>
      <c r="CJ47" s="34">
        <f t="shared" si="32"/>
        <v>0</v>
      </c>
      <c r="CK47" s="34">
        <f t="shared" si="32"/>
        <v>0</v>
      </c>
      <c r="CL47" s="34">
        <f t="shared" si="32"/>
        <v>0</v>
      </c>
      <c r="CM47" s="34">
        <f t="shared" si="32"/>
        <v>0</v>
      </c>
      <c r="CN47" s="34">
        <f t="shared" si="32"/>
        <v>0</v>
      </c>
      <c r="CO47" s="34">
        <f t="shared" si="32"/>
        <v>0</v>
      </c>
      <c r="CP47" s="34">
        <f>IF(OR(CP15&gt;0.1,AY15&gt;0),1,0)+IF(OR(CP16&gt;0.1,AY16&gt;0),1,0)+IF(OR(CP17&gt;0,AY17&gt;0),1,0)+IF(OR(CP18&gt;0,AY18&gt;0),1,0)+IF(OR(CP19&gt;0,AY19&gt;0),1,0)+IF(OR(CP20&gt;0,AY20&gt;0),1,0)+IF(OR(CP21&gt;0,AY21&gt;0),1,0)+IF(OR(CP22&gt;0,AY22&gt;0),1,0)+IF(OR(CP23&gt;0,AY23&gt;0),1,0)+IF(OR(CP24&gt;0,AY24&gt;0),1,0)+IF(OR(CP25&gt;0,AY25&gt;0),1,0)+IF(OR(CP26&gt;0,AY26&gt;0),1,0)+IF(OR(CP27&gt;0,AY27&gt;0),1,0)+IF(OR(CP28&gt;0,AY28&gt;0),1,0)+IF(OR(CP29&gt;0,AY29&gt;0),1,0)+IF(OR(CP30&gt;0,AY30&gt;0),1,0)+IF(OR(CP31&gt;0,AY31&gt;0),1,0)+IF(OR(CP32&gt;0,AY32&gt;0),1,0)+IF(OR(CP33&gt;0,AY33&gt;0),1,0)+IF(OR(CP34&gt;0,AY34&gt;0),1,0)+IF(OR(CP35&gt;0,AY35&gt;0),1,0)+IF(OR(CP36&gt;0,AY36&gt;0),1,0)+IF(OR(CP37&gt;0,AY37&gt;0),1,0)+IF(OR(CP38&gt;0,AY38&gt;0),1,0)+IF(OR(CP39&gt;0,AY39&gt;0),1,0)+IF(OR(CP40&gt;0,AY40&gt;0),1,0)+IF(OR(CP41&gt;0,AY41&gt;0),1,0)+IF(OR(CP42&gt;0,AY42&gt;0),1,0)+IF(OR(CP43&gt;0,AY43&gt;0),1,0)+IF(OR(CP44&gt;0,AY44&gt;0),1,0)+IF(OR(CP45&gt;0,AY45&gt;0),1,0)</f>
        <v>0</v>
      </c>
      <c r="CQ47" s="34">
        <f t="shared" si="32"/>
        <v>0</v>
      </c>
      <c r="CR47" s="34">
        <f t="shared" si="32"/>
        <v>0</v>
      </c>
      <c r="CS47" s="34">
        <f t="shared" si="32"/>
        <v>0</v>
      </c>
      <c r="CT47" s="34">
        <f t="shared" si="32"/>
        <v>0</v>
      </c>
      <c r="CU47" s="34">
        <f>IF(OR(CU15&gt;0.1,BD15&gt;0),1,0)+IF(OR(CU16&gt;0.1,BD16&gt;0),1,0)+IF(OR(CU17&gt;0,BD17&gt;0),1,0)+IF(OR(CU18&gt;0,BD18&gt;0),1,0)+IF(OR(CU19&gt;0,BD19&gt;0),1,0)+IF(OR(CU20&gt;0,BD20&gt;0),1,0)+IF(OR(CU21&gt;0,BD21&gt;0),1,0)+IF(OR(CU22&gt;0,BD22&gt;0),1,0)+IF(OR(CU23&gt;0,BD23&gt;0),1,0)+IF(OR(CU24&gt;0,BD24&gt;0),1,0)+IF(OR(CU25&gt;0,BD25&gt;0),1,0)+IF(OR(CU26&gt;0,BD26&gt;0),1,0)+IF(OR(CU27&gt;0,BD27&gt;0),1,0)+IF(OR(CU28&gt;0,BD28&gt;0),1,0)+IF(OR(CU29&gt;0,BD29&gt;0),1,0)+IF(OR(CU30&gt;0,BD30&gt;0),1,0)+IF(OR(CU31&gt;0,BD31&gt;0),1,0)+IF(OR(CU32&gt;0,BD32&gt;0),1,0)+IF(OR(CU33&gt;0,BD33&gt;0),1,0)+IF(OR(CU34&gt;0,BD34&gt;0),1,0)+IF(OR(CU35&gt;0,BD35&gt;0),1,0)+IF(OR(CU36&gt;0,BD36&gt;0),1,0)+IF(OR(CU37&gt;0,BD37&gt;0),1,0)+IF(OR(CU38&gt;0,BD38&gt;0),1,0)+IF(OR(CU39&gt;0,BD39&gt;0),1,0)+IF(OR(CU40&gt;0,BD40&gt;0),1,0)+IF(OR(CU41&gt;0,BD41&gt;0),1,0)+IF(OR(CU42&gt;0,BD42&gt;0),1,0)+IF(OR(CU43&gt;0,BD43&gt;0),1,0)+IF(OR(CU44&gt;0,BD44&gt;0),1,0)+IF(OR(CU45&gt;0,BD45&gt;0),1,0)</f>
        <v>0</v>
      </c>
      <c r="CV47" s="34">
        <f t="shared" si="32"/>
        <v>0</v>
      </c>
      <c r="CW47" s="34">
        <f t="shared" si="32"/>
        <v>0</v>
      </c>
      <c r="CX47" s="34">
        <f t="shared" si="32"/>
        <v>0</v>
      </c>
      <c r="CY47" s="34">
        <f t="shared" si="32"/>
        <v>0</v>
      </c>
      <c r="CZ47" s="34">
        <f t="shared" si="32"/>
        <v>0</v>
      </c>
      <c r="DA47" s="34">
        <f t="shared" si="32"/>
        <v>0</v>
      </c>
      <c r="DB47" s="34">
        <f t="shared" si="32"/>
        <v>0</v>
      </c>
      <c r="DC47" s="34">
        <f t="shared" si="32"/>
        <v>0</v>
      </c>
      <c r="DD47" s="34">
        <f t="shared" si="32"/>
        <v>0</v>
      </c>
    </row>
    <row r="48" spans="1:116" ht="70" customHeight="1">
      <c r="A48" s="873" t="str">
        <f>"Arbejdstid for "&amp;A13&amp;" måned:"</f>
        <v>Arbejdstid for Januar måned:</v>
      </c>
      <c r="B48" s="874"/>
      <c r="C48" s="874"/>
      <c r="D48" s="874"/>
      <c r="E48" s="874"/>
      <c r="F48" s="874"/>
      <c r="G48" s="874"/>
      <c r="H48" s="201" t="s">
        <v>126</v>
      </c>
      <c r="I48" s="923" t="s">
        <v>115</v>
      </c>
      <c r="J48" s="924"/>
      <c r="K48" s="150"/>
      <c r="L48" s="966" t="s">
        <v>187</v>
      </c>
      <c r="M48" s="967"/>
      <c r="N48" s="967"/>
      <c r="O48" s="967"/>
      <c r="P48" s="967"/>
      <c r="Q48" s="967"/>
      <c r="R48" s="967"/>
      <c r="S48" s="968"/>
      <c r="T48" s="598" t="s">
        <v>361</v>
      </c>
      <c r="U48" s="373" t="s">
        <v>257</v>
      </c>
      <c r="V48" s="303"/>
      <c r="W48" s="117"/>
      <c r="X48" s="130"/>
      <c r="Y48" s="130"/>
      <c r="Z48" s="130"/>
      <c r="AA48"/>
      <c r="AB48"/>
      <c r="AK48" s="56"/>
      <c r="AL48" s="56"/>
      <c r="BO48" s="117"/>
      <c r="BP48" s="117"/>
      <c r="BQ48" s="130"/>
      <c r="BR48" s="130"/>
      <c r="BS48"/>
      <c r="BT48"/>
      <c r="CA48" s="1"/>
      <c r="CB48" s="56"/>
      <c r="CC48" s="56"/>
    </row>
    <row r="49" spans="1:114" ht="24" customHeight="1">
      <c r="A49" s="875" t="s">
        <v>270</v>
      </c>
      <c r="B49" s="876"/>
      <c r="C49" s="876"/>
      <c r="D49" s="876"/>
      <c r="E49" s="876"/>
      <c r="F49" s="876"/>
      <c r="G49" s="876"/>
      <c r="H49" s="145">
        <f>D83-D81-A93-D80</f>
        <v>22</v>
      </c>
      <c r="I49" s="852">
        <f>J65</f>
        <v>0</v>
      </c>
      <c r="J49" s="853"/>
      <c r="K49" s="147"/>
      <c r="L49" s="970"/>
      <c r="M49" s="971"/>
      <c r="N49" s="971"/>
      <c r="O49" s="971"/>
      <c r="P49" s="971"/>
      <c r="Q49" s="971"/>
      <c r="R49" s="971"/>
      <c r="S49" s="971"/>
      <c r="T49" s="392">
        <f>December!T57</f>
        <v>0</v>
      </c>
      <c r="U49" s="393">
        <f>December!U49</f>
        <v>0</v>
      </c>
      <c r="V49" s="303"/>
      <c r="W49" s="130"/>
      <c r="X49" s="130"/>
      <c r="Y49" s="130"/>
      <c r="Z49" s="130"/>
      <c r="AA49"/>
      <c r="AB49"/>
      <c r="AK49" s="56"/>
      <c r="AL49" s="56"/>
      <c r="BO49" s="130"/>
      <c r="BP49" s="130"/>
      <c r="BQ49" s="130"/>
      <c r="BR49" s="130"/>
      <c r="BS49"/>
      <c r="BT49"/>
      <c r="CB49" s="56"/>
      <c r="CC49" s="56"/>
    </row>
    <row r="50" spans="1:114" ht="24" customHeight="1">
      <c r="A50" s="875" t="str">
        <f>"Ferie "&amp;A13&amp;" måned"</f>
        <v>Ferie Januar måned</v>
      </c>
      <c r="B50" s="876"/>
      <c r="C50" s="876"/>
      <c r="D50" s="876"/>
      <c r="E50" s="876"/>
      <c r="F50" s="876"/>
      <c r="G50" s="876"/>
      <c r="H50" s="146" t="str">
        <f>IF(D77&gt;0,$D$77,"0")</f>
        <v>0</v>
      </c>
      <c r="I50" s="961">
        <f>H50*7.4*Stamoplysninger!E21</f>
        <v>0</v>
      </c>
      <c r="J50" s="962"/>
      <c r="K50" s="147"/>
      <c r="L50" s="388" t="s">
        <v>190</v>
      </c>
      <c r="M50" s="389"/>
      <c r="N50" s="389"/>
      <c r="O50" s="389"/>
      <c r="P50" s="389"/>
      <c r="Q50" s="389"/>
      <c r="R50" s="389"/>
      <c r="S50" s="389"/>
      <c r="T50" s="592"/>
      <c r="U50" s="356"/>
      <c r="V50" s="303"/>
      <c r="W50" s="130"/>
      <c r="X50" s="130"/>
      <c r="Y50" s="130"/>
      <c r="Z50" s="130"/>
      <c r="AA50"/>
      <c r="AB50"/>
      <c r="AK50" s="56"/>
      <c r="AL50" s="56"/>
      <c r="BO50" s="130"/>
      <c r="BP50" s="130"/>
      <c r="BQ50" s="130"/>
      <c r="BR50" s="130"/>
      <c r="BS50"/>
      <c r="BT50"/>
      <c r="CB50" s="56"/>
      <c r="CC50" s="56"/>
    </row>
    <row r="51" spans="1:114" ht="24" customHeight="1">
      <c r="A51" s="875" t="str">
        <f>"Søgnehelligdage i "&amp;A13&amp;" måned"</f>
        <v>Søgnehelligdage i Januar måned</v>
      </c>
      <c r="B51" s="876"/>
      <c r="C51" s="876"/>
      <c r="D51" s="876"/>
      <c r="E51" s="876"/>
      <c r="F51" s="876"/>
      <c r="G51" s="876"/>
      <c r="H51" s="146">
        <f>IF(D82&gt;0,D82,0)</f>
        <v>1</v>
      </c>
      <c r="I51" s="961">
        <f>H51*7.4*Stamoplysninger!E21</f>
        <v>0</v>
      </c>
      <c r="J51" s="962"/>
      <c r="K51" s="225"/>
      <c r="L51" s="948" t="s">
        <v>363</v>
      </c>
      <c r="M51" s="949"/>
      <c r="N51" s="949"/>
      <c r="O51" s="949"/>
      <c r="P51" s="949"/>
      <c r="Q51" s="949"/>
      <c r="R51" s="949"/>
      <c r="S51" s="949"/>
      <c r="T51" s="949"/>
      <c r="U51" s="950"/>
      <c r="V51" s="303"/>
      <c r="W51" s="130"/>
      <c r="X51" s="130"/>
      <c r="Y51" s="130"/>
      <c r="Z51" s="130"/>
      <c r="AA51"/>
      <c r="AB51"/>
      <c r="AK51" s="56"/>
      <c r="AL51" s="56"/>
      <c r="BO51" s="130"/>
      <c r="BP51" s="130"/>
      <c r="BQ51" s="130"/>
      <c r="BR51" s="130"/>
      <c r="BS51"/>
      <c r="BT51"/>
      <c r="CB51" s="56"/>
      <c r="CC51" s="56"/>
    </row>
    <row r="52" spans="1:114" ht="24" customHeight="1">
      <c r="A52" s="875" t="str">
        <f>"Nettoarbejdstid ialt i "&amp;A13&amp;" måned"</f>
        <v>Nettoarbejdstid ialt i Januar måned</v>
      </c>
      <c r="B52" s="876"/>
      <c r="C52" s="876"/>
      <c r="D52" s="876"/>
      <c r="E52" s="876"/>
      <c r="F52" s="876"/>
      <c r="G52" s="876"/>
      <c r="H52" s="148">
        <f>H49-H50-H51</f>
        <v>21</v>
      </c>
      <c r="I52" s="961">
        <f>IF(Stamoplysninger!$E$18="Ikke omfattet af overenskomst - ansat med en fast årsnorm",Stamoplysninger!$E$20/228*H52*Stamoplysninger!$E$21,I49-I50-I51)</f>
        <v>0</v>
      </c>
      <c r="J52" s="962"/>
      <c r="K52" s="225"/>
      <c r="L52" s="375" t="s">
        <v>362</v>
      </c>
      <c r="M52" s="376" t="s">
        <v>201</v>
      </c>
      <c r="N52" s="954" t="s">
        <v>277</v>
      </c>
      <c r="O52" s="949"/>
      <c r="P52" s="949"/>
      <c r="Q52" s="949"/>
      <c r="R52" s="949"/>
      <c r="S52" s="955"/>
      <c r="T52" s="921" t="s">
        <v>188</v>
      </c>
      <c r="U52" s="922"/>
      <c r="V52" s="303"/>
      <c r="W52" s="130"/>
      <c r="X52" s="130"/>
      <c r="Y52" s="130"/>
      <c r="Z52" s="130"/>
      <c r="AA52"/>
      <c r="AB52"/>
      <c r="AK52" s="56"/>
      <c r="AL52" s="56"/>
      <c r="BO52" s="130"/>
      <c r="BP52" s="130"/>
      <c r="BQ52" s="130"/>
      <c r="BR52" s="130"/>
      <c r="BS52"/>
      <c r="BT52"/>
      <c r="CB52" s="56"/>
      <c r="CC52" s="56"/>
    </row>
    <row r="53" spans="1:114" ht="24" customHeight="1">
      <c r="A53" s="881" t="str">
        <f>"Planlagt arbejdstid efter ovennstående "&amp;A13&amp;" måned kalender"</f>
        <v>Planlagt arbejdstid efter ovennstående Januar måned kalender</v>
      </c>
      <c r="B53" s="882"/>
      <c r="C53" s="882"/>
      <c r="D53" s="882"/>
      <c r="E53" s="882"/>
      <c r="F53" s="882"/>
      <c r="G53" s="882"/>
      <c r="H53" s="281">
        <f>D60+D61+D62+D63+D66+D67+D74+D68+D69+D70+D71+D72+D73+D75+D76+D64+D65</f>
        <v>21</v>
      </c>
      <c r="I53" s="940">
        <f>K46+L46+M46-J60</f>
        <v>0</v>
      </c>
      <c r="J53" s="941"/>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883" t="str">
        <f>"Arbejde særligt planlagt for "&amp;A13&amp;" måned efter fanen normale ugerr"</f>
        <v>Arbejde særligt planlagt for Januar måned efter fanen normale ugerr</v>
      </c>
      <c r="B54" s="884"/>
      <c r="C54" s="884"/>
      <c r="D54" s="884"/>
      <c r="E54" s="884"/>
      <c r="F54" s="884"/>
      <c r="G54" s="884"/>
      <c r="H54" s="885"/>
      <c r="I54" s="942">
        <f>IF(I53=0,0,'Normal uger'!Q98)</f>
        <v>0</v>
      </c>
      <c r="J54" s="943"/>
      <c r="K54" s="226"/>
      <c r="L54" s="372"/>
      <c r="M54" s="304"/>
      <c r="N54" s="956"/>
      <c r="O54" s="957"/>
      <c r="P54" s="957"/>
      <c r="Q54" s="957"/>
      <c r="R54" s="957"/>
      <c r="S54" s="958"/>
      <c r="T54" s="304"/>
      <c r="U54" s="371"/>
      <c r="V54" s="303"/>
      <c r="W54" s="130"/>
      <c r="X54" s="130"/>
      <c r="Y54" s="130"/>
      <c r="Z54" s="130"/>
      <c r="AA54"/>
      <c r="AB54"/>
      <c r="AK54" s="56"/>
      <c r="AL54" s="56"/>
      <c r="BO54" s="130"/>
      <c r="BP54" s="130"/>
      <c r="BQ54" s="130"/>
      <c r="BR54" s="130"/>
      <c r="BS54"/>
      <c r="BT54"/>
      <c r="CB54" s="56"/>
      <c r="CC54" s="56"/>
    </row>
    <row r="55" spans="1:114" ht="24" customHeight="1">
      <c r="A55" s="413" t="s">
        <v>273</v>
      </c>
      <c r="B55" s="414"/>
      <c r="C55" s="414"/>
      <c r="D55" s="414"/>
      <c r="E55" s="414"/>
      <c r="F55" s="414"/>
      <c r="G55" s="414"/>
      <c r="H55" s="415"/>
      <c r="I55" s="959" t="e">
        <f>IF(Arbejdstidsoversigt!$H$54="Puljetimer registreres i månedskalendere",O46-L60,SUM(Arbejdstidsoversigt!J34:J52)/Arbejdstidsoversigt!$G$20*H52)</f>
        <v>#DIV/0!</v>
      </c>
      <c r="J55" s="960"/>
      <c r="K55" s="226"/>
      <c r="L55" s="372"/>
      <c r="M55" s="304"/>
      <c r="N55" s="956"/>
      <c r="O55" s="957"/>
      <c r="P55" s="957"/>
      <c r="Q55" s="957"/>
      <c r="R55" s="957"/>
      <c r="S55" s="958"/>
      <c r="T55" s="353"/>
      <c r="U55" s="371"/>
      <c r="V55" s="406"/>
      <c r="W55" s="406"/>
      <c r="X55" s="303"/>
      <c r="Y55" s="130"/>
      <c r="Z55" s="130"/>
      <c r="AA55" s="130"/>
      <c r="AB55" s="130"/>
      <c r="AM55" s="56"/>
      <c r="AN55" s="56"/>
      <c r="BQ55" s="130"/>
      <c r="BR55" s="130"/>
      <c r="BS55" s="130"/>
      <c r="BT55" s="130"/>
      <c r="CD55" s="56"/>
      <c r="CE55" s="56"/>
    </row>
    <row r="56" spans="1:114" ht="24" customHeight="1">
      <c r="A56" s="877" t="s">
        <v>248</v>
      </c>
      <c r="B56" s="878"/>
      <c r="C56" s="878"/>
      <c r="D56" s="878"/>
      <c r="E56" s="878"/>
      <c r="F56" s="878"/>
      <c r="G56" s="878"/>
      <c r="H56" s="878"/>
      <c r="I56" s="944">
        <f>S46+U46+T46-P60-Q60-R60</f>
        <v>0</v>
      </c>
      <c r="J56" s="945"/>
      <c r="K56" s="227"/>
      <c r="L56" s="372"/>
      <c r="M56" s="304"/>
      <c r="N56" s="956"/>
      <c r="O56" s="957"/>
      <c r="P56" s="957"/>
      <c r="Q56" s="957"/>
      <c r="R56" s="957"/>
      <c r="S56" s="958"/>
      <c r="T56" s="304"/>
      <c r="U56" s="371"/>
      <c r="V56" s="303"/>
      <c r="W56" s="137"/>
      <c r="X56" s="130"/>
      <c r="Z56" s="130"/>
      <c r="AA56" s="130"/>
      <c r="AB56"/>
      <c r="AM56" s="56"/>
      <c r="AN56" s="56"/>
      <c r="BO56" s="137"/>
      <c r="BP56" s="137"/>
      <c r="BR56" s="130"/>
      <c r="BS56"/>
      <c r="BT56"/>
      <c r="CD56" s="56"/>
      <c r="CE56" s="56"/>
    </row>
    <row r="57" spans="1:114" ht="24" customHeight="1" thickBot="1">
      <c r="A57" s="149" t="str">
        <f>"Faktisk arbejdstid ialt i "&amp;A13&amp;" måned"</f>
        <v>Faktisk arbejdstid ialt i Januar måned</v>
      </c>
      <c r="B57" s="188"/>
      <c r="C57" s="189"/>
      <c r="D57" s="189"/>
      <c r="E57" s="189"/>
      <c r="F57" s="189"/>
      <c r="G57" s="189"/>
      <c r="H57" s="190"/>
      <c r="I57" s="946" t="e">
        <f>SUM(I53:J56)</f>
        <v>#DIV/0!</v>
      </c>
      <c r="J57" s="947"/>
      <c r="K57" s="131"/>
      <c r="L57" s="951" t="s">
        <v>189</v>
      </c>
      <c r="M57" s="952"/>
      <c r="N57" s="952"/>
      <c r="O57" s="952"/>
      <c r="P57" s="952"/>
      <c r="Q57" s="952"/>
      <c r="R57" s="952"/>
      <c r="S57" s="953"/>
      <c r="T57" s="387">
        <f>T49+T50-SUM(T53:T56)</f>
        <v>0</v>
      </c>
      <c r="U57" s="394">
        <f>U49+U50-SUM(U53:U56)</f>
        <v>0</v>
      </c>
      <c r="V57" s="303"/>
      <c r="W57" s="137"/>
      <c r="X57" s="130"/>
      <c r="Z57" s="130"/>
      <c r="AA57" s="130"/>
      <c r="AB57"/>
      <c r="AL57" s="56"/>
      <c r="AM57" s="56"/>
      <c r="BG57" s="56"/>
      <c r="BH57" s="56"/>
      <c r="BO57" s="137"/>
      <c r="BP57" s="137"/>
      <c r="BR57" s="130"/>
      <c r="BS57"/>
      <c r="BT57"/>
      <c r="CC57" s="56"/>
      <c r="CD57" s="56"/>
    </row>
    <row r="58" spans="1:114" hidden="1">
      <c r="A58" s="144"/>
      <c r="B58" s="144"/>
      <c r="C58" s="144"/>
      <c r="D58" s="144"/>
      <c r="E58" s="144"/>
      <c r="F58" s="144"/>
      <c r="G58" s="144"/>
      <c r="H58" s="144"/>
      <c r="I58" s="302"/>
      <c r="J58" s="302"/>
      <c r="K58" s="302"/>
      <c r="L58" s="290"/>
      <c r="M58" s="252"/>
      <c r="N58" s="252"/>
      <c r="O58" s="252"/>
      <c r="P58" s="252"/>
      <c r="Q58" s="252"/>
      <c r="R58" s="205"/>
      <c r="S58" s="253"/>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6"/>
      <c r="B59" s="286"/>
      <c r="C59" s="286"/>
      <c r="D59" s="286"/>
      <c r="E59" s="286"/>
      <c r="F59" s="286"/>
      <c r="G59" s="286"/>
      <c r="H59" s="287"/>
      <c r="I59" s="288"/>
      <c r="K59" s="286"/>
      <c r="L59" s="289"/>
      <c r="M59" s="279"/>
      <c r="N59" s="252"/>
      <c r="O59" s="252"/>
      <c r="P59" s="279"/>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295" t="s">
        <v>217</v>
      </c>
      <c r="B60" s="295"/>
      <c r="C60" s="295"/>
      <c r="D60" s="295">
        <f>COUNTIF([0]!Januar1,"Normal uge 1")</f>
        <v>21</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 si="33">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204</v>
      </c>
      <c r="B61" s="969"/>
      <c r="C61" s="969"/>
      <c r="D61" s="295">
        <f>COUNTIF([0]!Januar1,"Normal uge 2")</f>
        <v>0</v>
      </c>
      <c r="E61" s="296"/>
      <c r="F61" s="295"/>
      <c r="G61" s="295" t="s">
        <v>489</v>
      </c>
      <c r="H61" s="852">
        <f>IF(AND(Stamoplysninger!$E$18="BUPL/FOA",Stamoplysninger!$E$19="Ja"),1924/Arbejdstidsoversigt!$K$13*Stamoplysninger!$E$21*$H$49,H49*7.4*Stamoplysninger!$E$21)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205</v>
      </c>
      <c r="B62" s="969"/>
      <c r="C62" s="969"/>
      <c r="D62" s="295">
        <f>COUNTIF([0]!Januar1,"Normal uge 3")</f>
        <v>0</v>
      </c>
      <c r="E62" s="296"/>
      <c r="F62" s="295"/>
      <c r="G62" s="295" t="s">
        <v>212</v>
      </c>
      <c r="H62" s="852">
        <f>IF(AND(Stamoplysninger!$E$18="HK",Stamoplysninger!$E$19="Ja"),1924/Arbejdstidsoversigt!$K$13*Stamoplysninger!$E$21*$H$49,$H$49*7.4*Stamoplysninger!$E$21)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69" t="s">
        <v>206</v>
      </c>
      <c r="B63" s="969"/>
      <c r="C63" s="969"/>
      <c r="D63" s="295">
        <f>COUNTIF([0]!Januar1,"Normal uge 4")</f>
        <v>0</v>
      </c>
      <c r="E63" s="296"/>
      <c r="F63" s="295"/>
      <c r="G63" s="295" t="s">
        <v>213</v>
      </c>
      <c r="H63" s="288">
        <f>IF(Stamoplysninger!$E$18="3F",7.4*Stamoplysninger!$E$21*$H$49,0)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0" t="s">
        <v>406</v>
      </c>
      <c r="B64" s="650"/>
      <c r="C64" s="650"/>
      <c r="D64" s="295">
        <f>COUNTIF([0]!Januar1,"Normal uge 5")</f>
        <v>0</v>
      </c>
      <c r="E64" s="296"/>
      <c r="F64" s="295"/>
      <c r="G64" s="295" t="s">
        <v>498</v>
      </c>
      <c r="H64" s="288">
        <f>IF(Stamoplysninger!$E$18="Ikke omfattet af overenskomst - ansat med en variabel årsnorm",7.4*Stamoplysninger!$E$21*$H$49,0)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52" t="s">
        <v>407</v>
      </c>
      <c r="B65" s="652"/>
      <c r="C65" s="652"/>
      <c r="D65" s="295">
        <f>COUNTIF([0]!Januar1,"Normal uge 6")</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295" t="s">
        <v>228</v>
      </c>
      <c r="B66" s="295"/>
      <c r="C66" s="295"/>
      <c r="D66" s="295">
        <f>COUNTIF([0]!Januar1,"Anderledes dag")</f>
        <v>0</v>
      </c>
      <c r="E66" s="296"/>
      <c r="F66" s="295"/>
      <c r="G66" s="295"/>
      <c r="H66" s="288"/>
      <c r="I66" s="292"/>
      <c r="J66" s="289"/>
      <c r="K66" s="291"/>
      <c r="L66" s="292"/>
      <c r="M66" s="280"/>
      <c r="N66" s="280"/>
      <c r="O66" s="280"/>
      <c r="P66" s="280"/>
      <c r="AA66"/>
      <c r="AB66"/>
      <c r="AW66" s="1"/>
      <c r="BG66" s="1"/>
      <c r="BR66" s="63"/>
      <c r="BS66"/>
      <c r="BT66"/>
      <c r="CN66" s="1"/>
      <c r="CX66" s="1"/>
      <c r="DG66" s="138"/>
    </row>
    <row r="67" spans="1:114" hidden="1">
      <c r="A67" s="297" t="s">
        <v>370</v>
      </c>
      <c r="B67" s="295"/>
      <c r="C67" s="295"/>
      <c r="D67" s="295">
        <f>COUNTIF([0]!Januar1,"Ferieåbning")</f>
        <v>0</v>
      </c>
      <c r="E67" s="296"/>
      <c r="F67" s="295"/>
      <c r="G67" s="295"/>
      <c r="H67" s="288"/>
      <c r="I67" s="292"/>
      <c r="J67" s="292"/>
      <c r="K67" s="292"/>
      <c r="L67" s="292"/>
      <c r="M67" s="280"/>
      <c r="N67" s="280"/>
      <c r="O67" s="280"/>
      <c r="P67" s="280"/>
      <c r="AA67"/>
      <c r="AB67"/>
      <c r="AW67" s="1"/>
      <c r="BG67" s="1"/>
      <c r="BR67" s="63"/>
      <c r="BS67"/>
      <c r="BT67"/>
      <c r="CN67" s="1"/>
      <c r="CX67" s="1"/>
      <c r="DG67" s="138"/>
    </row>
    <row r="68" spans="1:114" hidden="1">
      <c r="A68" s="297" t="s">
        <v>218</v>
      </c>
      <c r="B68" s="295"/>
      <c r="C68" s="295"/>
      <c r="D68" s="295">
        <f>COUNTIF([0]!Januar1,"Rul 1")</f>
        <v>0</v>
      </c>
      <c r="E68" s="296"/>
      <c r="F68" s="295"/>
      <c r="G68" s="295"/>
      <c r="H68" s="288"/>
      <c r="I68" s="292"/>
      <c r="J68" s="292"/>
      <c r="K68" s="292"/>
      <c r="L68" s="292"/>
      <c r="M68" s="252"/>
      <c r="N68" s="280"/>
      <c r="O68" s="280"/>
      <c r="P68" s="252"/>
      <c r="AA68"/>
      <c r="AB68"/>
      <c r="AW68" s="1"/>
      <c r="BG68" s="1"/>
      <c r="BR68" s="63"/>
      <c r="BS68"/>
      <c r="BT68"/>
      <c r="CN68" s="1"/>
      <c r="CX68" s="1"/>
      <c r="DG68" s="138"/>
    </row>
    <row r="69" spans="1:114" hidden="1">
      <c r="A69" s="297" t="s">
        <v>219</v>
      </c>
      <c r="B69" s="295"/>
      <c r="C69" s="295"/>
      <c r="D69" s="295">
        <f>COUNTIF([0]!Januar1,"Rul 2")</f>
        <v>0</v>
      </c>
      <c r="E69" s="296"/>
      <c r="F69" s="295"/>
      <c r="G69" s="295"/>
      <c r="H69" s="288"/>
      <c r="I69" s="292"/>
      <c r="J69" s="292"/>
      <c r="K69" s="292"/>
      <c r="L69" s="292"/>
      <c r="N69" s="252"/>
      <c r="O69" s="252"/>
      <c r="AA69"/>
      <c r="AB69"/>
      <c r="AW69" s="1"/>
      <c r="BG69" s="1"/>
      <c r="BR69" s="63"/>
      <c r="BS69"/>
      <c r="BT69"/>
      <c r="CN69" s="1"/>
      <c r="CX69" s="1"/>
      <c r="DG69" s="138"/>
    </row>
    <row r="70" spans="1:114" hidden="1">
      <c r="A70" s="297" t="s">
        <v>220</v>
      </c>
      <c r="B70" s="295"/>
      <c r="C70" s="295"/>
      <c r="D70" s="295">
        <f>COUNTIF([0]!Januar1,"Rul 3")</f>
        <v>0</v>
      </c>
      <c r="E70" s="296"/>
      <c r="F70" s="295"/>
      <c r="G70" s="295"/>
      <c r="H70" s="288"/>
      <c r="I70" s="292"/>
      <c r="J70" s="292"/>
      <c r="K70" s="292"/>
      <c r="L70" s="292"/>
      <c r="P70" s="288"/>
      <c r="AA70"/>
      <c r="AB70"/>
      <c r="AW70" s="1"/>
      <c r="BG70" s="1"/>
      <c r="BR70" s="63"/>
      <c r="BS70"/>
      <c r="BT70"/>
      <c r="CN70" s="1"/>
      <c r="CX70" s="1"/>
      <c r="DG70" s="138"/>
    </row>
    <row r="71" spans="1:114" hidden="1">
      <c r="A71" s="297" t="s">
        <v>221</v>
      </c>
      <c r="B71" s="295"/>
      <c r="C71" s="295"/>
      <c r="D71" s="295">
        <f>COUNTIF([0]!Januar1,"Rul 4")</f>
        <v>0</v>
      </c>
      <c r="E71" s="296"/>
      <c r="F71" s="295"/>
      <c r="G71" s="295"/>
      <c r="H71" s="288"/>
      <c r="I71" s="292"/>
      <c r="J71" s="292"/>
      <c r="K71" s="292"/>
      <c r="L71" s="292"/>
      <c r="AA71"/>
      <c r="AB71"/>
      <c r="AW71" s="1"/>
      <c r="BG71" s="1"/>
      <c r="BS71"/>
      <c r="BT71"/>
      <c r="CN71" s="1"/>
      <c r="CX71" s="1"/>
      <c r="DG71" s="138"/>
    </row>
    <row r="72" spans="1:114" hidden="1">
      <c r="A72" s="297" t="s">
        <v>222</v>
      </c>
      <c r="B72" s="295"/>
      <c r="C72" s="295"/>
      <c r="D72" s="295">
        <f>COUNTIF([0]!Januar1,"Rul 5")</f>
        <v>0</v>
      </c>
      <c r="E72" s="296"/>
      <c r="F72" s="295"/>
      <c r="G72" s="295"/>
      <c r="H72" s="288"/>
      <c r="I72" s="292"/>
      <c r="J72" s="292"/>
      <c r="K72" s="292"/>
      <c r="L72" s="292"/>
      <c r="AA72"/>
      <c r="AB72"/>
      <c r="AW72" s="1"/>
      <c r="BG72" s="1"/>
      <c r="BS72"/>
      <c r="BT72"/>
      <c r="CN72" s="1"/>
      <c r="CX72" s="1"/>
      <c r="DG72" s="138"/>
    </row>
    <row r="73" spans="1:114" hidden="1">
      <c r="A73" s="297" t="s">
        <v>223</v>
      </c>
      <c r="B73" s="295"/>
      <c r="C73" s="295"/>
      <c r="D73" s="295">
        <f>COUNTIF([0]!Januar1,"Rul 6")</f>
        <v>0</v>
      </c>
      <c r="E73" s="296"/>
      <c r="F73" s="298"/>
      <c r="G73" s="298"/>
      <c r="H73" s="294"/>
      <c r="I73" s="292"/>
      <c r="J73" s="292"/>
      <c r="K73" s="292"/>
      <c r="L73" s="292"/>
      <c r="AA73"/>
      <c r="AB73"/>
      <c r="AW73" s="1"/>
      <c r="BG73" s="1"/>
      <c r="BS73"/>
      <c r="BT73"/>
      <c r="CN73" s="1"/>
      <c r="CX73" s="1"/>
      <c r="DG73" s="138"/>
    </row>
    <row r="74" spans="1:114" hidden="1">
      <c r="A74" s="295" t="s">
        <v>83</v>
      </c>
      <c r="B74" s="295"/>
      <c r="C74" s="295"/>
      <c r="D74" s="295">
        <f>COUNTIF([0]!Januar1,"Pæd.dag")</f>
        <v>0</v>
      </c>
      <c r="E74" s="296"/>
      <c r="F74" s="295"/>
      <c r="G74" s="295"/>
      <c r="H74" s="288"/>
      <c r="I74" s="292"/>
      <c r="J74" s="292"/>
      <c r="K74" s="292"/>
      <c r="L74" s="291"/>
      <c r="AA74"/>
      <c r="AB74"/>
      <c r="AW74" s="1"/>
      <c r="BG74" s="1"/>
      <c r="BS74"/>
      <c r="BT74"/>
      <c r="CN74" s="1"/>
      <c r="CX74" s="1"/>
      <c r="DG74" s="138"/>
    </row>
    <row r="75" spans="1:114" hidden="1">
      <c r="A75" s="295" t="s">
        <v>227</v>
      </c>
      <c r="B75" s="295"/>
      <c r="C75" s="295"/>
      <c r="D75" s="295">
        <f>COUNTIF([0]!Januar1,"Koloni")</f>
        <v>0</v>
      </c>
      <c r="E75" s="296"/>
      <c r="F75" s="295"/>
      <c r="G75" s="295"/>
      <c r="H75" s="288"/>
      <c r="I75" s="292"/>
      <c r="J75" s="292"/>
      <c r="K75" s="292"/>
      <c r="L75" s="291"/>
      <c r="AA75"/>
      <c r="AB75"/>
      <c r="AW75" s="1"/>
      <c r="BG75" s="1"/>
      <c r="BS75"/>
      <c r="BT75"/>
      <c r="CN75" s="1"/>
      <c r="CX75" s="1"/>
      <c r="DG75" s="138"/>
    </row>
    <row r="76" spans="1:114" hidden="1">
      <c r="A76" s="295" t="s">
        <v>82</v>
      </c>
      <c r="B76" s="295"/>
      <c r="C76" s="295"/>
      <c r="D76" s="295">
        <f>COUNTIF([0]!Januar1,"Ekskursion")</f>
        <v>0</v>
      </c>
      <c r="E76" s="296"/>
      <c r="F76" s="295"/>
      <c r="G76" s="295"/>
      <c r="H76" s="288"/>
      <c r="I76" s="292"/>
      <c r="J76" s="292"/>
      <c r="K76" s="292"/>
      <c r="L76" s="291"/>
      <c r="AA76"/>
      <c r="AB76"/>
      <c r="AW76" s="1"/>
      <c r="BG76" s="1"/>
      <c r="BS76"/>
      <c r="BT76"/>
      <c r="CN76" s="1"/>
      <c r="CX76" s="1"/>
      <c r="DG76" s="138"/>
    </row>
    <row r="77" spans="1:114" hidden="1">
      <c r="A77" s="295" t="s">
        <v>109</v>
      </c>
      <c r="B77" s="295"/>
      <c r="C77" s="295"/>
      <c r="D77" s="295">
        <f>COUNTIF([0]!Januar1,"Feriedag")</f>
        <v>0</v>
      </c>
      <c r="E77" s="295"/>
      <c r="F77" s="295"/>
      <c r="G77" s="295"/>
      <c r="H77" s="288"/>
      <c r="I77" s="292"/>
      <c r="J77" s="292"/>
      <c r="K77" s="292"/>
      <c r="L77" s="291"/>
      <c r="AA77"/>
      <c r="AB77"/>
      <c r="AW77" s="1"/>
      <c r="BG77" s="1"/>
      <c r="BS77"/>
      <c r="BT77"/>
      <c r="CN77" s="1"/>
      <c r="CX77" s="1"/>
      <c r="DG77" s="138"/>
    </row>
    <row r="78" spans="1:114" hidden="1">
      <c r="A78" s="295" t="s">
        <v>78</v>
      </c>
      <c r="B78" s="295"/>
      <c r="C78" s="295"/>
      <c r="D78" s="295">
        <f>COUNTIF([0]!Januar1,"Nul-dag")</f>
        <v>0</v>
      </c>
      <c r="E78" s="299"/>
      <c r="F78" s="295"/>
      <c r="G78" s="295"/>
      <c r="H78" s="288"/>
      <c r="I78" s="292"/>
      <c r="J78" s="292"/>
      <c r="K78" s="292"/>
      <c r="L78" s="291"/>
      <c r="AA78"/>
      <c r="AB78"/>
      <c r="AW78" s="1"/>
      <c r="BG78" s="1"/>
      <c r="BS78"/>
      <c r="BT78"/>
      <c r="CN78" s="1"/>
      <c r="CX78" s="1"/>
      <c r="DG78" s="138"/>
    </row>
    <row r="79" spans="1:114" hidden="1">
      <c r="A79" s="295" t="s">
        <v>176</v>
      </c>
      <c r="B79" s="295"/>
      <c r="C79" s="295"/>
      <c r="D79" s="295">
        <f>COUNTIF([0]!Januar1,"Orlov")</f>
        <v>0</v>
      </c>
      <c r="E79" s="295"/>
      <c r="F79" s="295"/>
      <c r="G79" s="295"/>
      <c r="H79" s="288"/>
      <c r="I79" s="288"/>
      <c r="J79" s="292"/>
      <c r="K79" s="292"/>
      <c r="L79" s="291"/>
      <c r="AA79"/>
      <c r="AB79"/>
      <c r="AW79" s="1"/>
      <c r="BG79" s="1"/>
      <c r="BS79"/>
      <c r="BT79"/>
      <c r="CN79" s="1"/>
      <c r="CX79" s="1"/>
      <c r="DG79" s="138"/>
    </row>
    <row r="80" spans="1:114" hidden="1">
      <c r="A80" s="295" t="s">
        <v>98</v>
      </c>
      <c r="B80" s="295"/>
      <c r="C80" s="295"/>
      <c r="D80" s="295">
        <f>COUNTIF([0]!Januar1,"Ikke relevant")</f>
        <v>0</v>
      </c>
      <c r="E80" s="295"/>
      <c r="F80" s="295"/>
      <c r="G80" s="295"/>
      <c r="H80" s="288"/>
      <c r="I80" s="288"/>
      <c r="J80" s="291"/>
      <c r="K80" s="291"/>
      <c r="L80" s="291"/>
      <c r="AA80"/>
      <c r="AB80"/>
      <c r="AW80" s="1"/>
      <c r="BG80" s="1"/>
      <c r="BS80"/>
      <c r="BT80"/>
      <c r="CN80" s="1"/>
      <c r="CX80" s="1"/>
      <c r="DG80" s="138"/>
    </row>
    <row r="81" spans="1:114" hidden="1">
      <c r="A81" s="295" t="s">
        <v>77</v>
      </c>
      <c r="B81" s="295"/>
      <c r="C81" s="295"/>
      <c r="D81" s="295">
        <f>COUNTIF([0]!Januar1,"Weekend")</f>
        <v>9</v>
      </c>
      <c r="E81" s="295"/>
      <c r="F81" s="295"/>
      <c r="G81" s="295"/>
      <c r="H81" s="288"/>
      <c r="I81" s="288"/>
      <c r="J81" s="291"/>
      <c r="K81" s="291"/>
      <c r="L81" s="291"/>
      <c r="AA81"/>
      <c r="AB81"/>
      <c r="AW81" s="1"/>
      <c r="BG81" s="1">
        <f>SUM(Z87:BF87)</f>
        <v>0</v>
      </c>
      <c r="BS81"/>
      <c r="BT81"/>
      <c r="CN81" s="1"/>
      <c r="CX81" s="1"/>
      <c r="DG81" s="138"/>
    </row>
    <row r="82" spans="1:114" hidden="1">
      <c r="A82" s="293" t="s">
        <v>76</v>
      </c>
      <c r="B82" s="295"/>
      <c r="C82" s="295"/>
      <c r="D82" s="295">
        <f>COUNTIF([0]!Januar1,"SH-dag")</f>
        <v>1</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73</v>
      </c>
      <c r="B83" s="295"/>
      <c r="C83" s="295"/>
      <c r="D83" s="295">
        <f>SUM(D60:D82)</f>
        <v>31</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t="s">
        <v>122</v>
      </c>
      <c r="B84" s="295"/>
      <c r="C84" s="295"/>
      <c r="D84" s="295">
        <f>D83-D77-A93-D81-D82</f>
        <v>21</v>
      </c>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291"/>
      <c r="AA85"/>
      <c r="AB85"/>
      <c r="AW85" s="1">
        <f>SUM(P85:AV85)</f>
        <v>0</v>
      </c>
      <c r="BS85"/>
      <c r="BT85"/>
      <c r="CN85" s="1">
        <f>SUM(AV85:CM85)</f>
        <v>0</v>
      </c>
      <c r="CX85" s="1">
        <f>SUM(BQ90:CW90)</f>
        <v>0</v>
      </c>
      <c r="DG85" s="138"/>
    </row>
    <row r="86" spans="1:114" hidden="1">
      <c r="A86" s="295"/>
      <c r="B86" s="295"/>
      <c r="C86" s="295"/>
      <c r="D86" s="295"/>
      <c r="E86" s="295"/>
      <c r="F86" s="295"/>
      <c r="G86" s="295"/>
      <c r="H86" s="288"/>
      <c r="I86" s="288"/>
      <c r="J86" s="291"/>
      <c r="K86" s="291"/>
      <c r="L86" s="33"/>
      <c r="AA86"/>
      <c r="AB86"/>
      <c r="BS86"/>
      <c r="BT86"/>
      <c r="DG86" s="138"/>
    </row>
    <row r="87" spans="1:114" hidden="1">
      <c r="A87" s="295" t="s">
        <v>138</v>
      </c>
      <c r="B87" s="295"/>
      <c r="C87" s="295"/>
      <c r="D87" s="295"/>
      <c r="E87" s="295"/>
      <c r="F87" s="295"/>
      <c r="G87" s="295"/>
      <c r="H87" s="291"/>
      <c r="I87" s="288"/>
      <c r="J87" s="291"/>
      <c r="K87" s="291"/>
      <c r="L87" s="33"/>
      <c r="AA87"/>
      <c r="AB87"/>
      <c r="BS87"/>
      <c r="BT87"/>
      <c r="DG87" s="138"/>
    </row>
    <row r="88" spans="1:114" hidden="1">
      <c r="A88" s="295">
        <f>COUNTIF(C17:C18,"Normal uge 1")+COUNTIF(C17:C18,"Normal uge 2")+COUNTIF(C17:C18,"Normal uge 3")+COUNTIF(C17:C18,"Normal uge 4")+COUNTIF(C17:C18,"Anderledes dag")+COUNTIF(C17:C18,"Feriepasningsdag")+COUNTIF(C17:C18,"Koloni")+COUNTIF(C17:C18,"Ekskursion")+COUNTIF(C17:C18,"Pæd.dag")</f>
        <v>0</v>
      </c>
      <c r="B88" s="295"/>
      <c r="C88" s="295"/>
      <c r="D88" s="295"/>
      <c r="E88" s="295"/>
      <c r="F88" s="295"/>
      <c r="G88" s="295"/>
      <c r="H88" s="291"/>
      <c r="I88" s="291"/>
      <c r="J88" s="291"/>
      <c r="K88" s="291"/>
      <c r="L88" s="33"/>
      <c r="AA88"/>
      <c r="AB88"/>
      <c r="BS88"/>
      <c r="BT88"/>
      <c r="DG88" s="138"/>
    </row>
    <row r="89" spans="1:114" hidden="1">
      <c r="A89" s="295">
        <f>COUNTIF(C24:C25,"Normal uge 1")+COUNTIF(C24:C25,"Normal uge 2")+COUNTIF(C24:C25,"Normal uge 3")+COUNTIF(C24:C25,"Normal uge 4")+COUNTIF(C24:C25,"Anderledes dag")+COUNTIF(C24:C25,"Feriepasningsdag")+COUNTIF(C24:C25,"Pæd.dag")+COUNTIF(C24:C25,"Ekskursion")+COUNTIF(C24:C25,"Koloni")</f>
        <v>0</v>
      </c>
      <c r="B89" s="295"/>
      <c r="C89" s="295"/>
      <c r="D89" s="295"/>
      <c r="E89" s="295"/>
      <c r="F89" s="295"/>
      <c r="G89" s="295"/>
      <c r="H89" s="291"/>
      <c r="I89" s="33"/>
      <c r="J89" s="291"/>
      <c r="K89" s="291"/>
      <c r="L89" s="33"/>
      <c r="AA89"/>
      <c r="AB89"/>
      <c r="BS89"/>
      <c r="BT89"/>
      <c r="DG89" s="138"/>
    </row>
    <row r="90" spans="1:114" hidden="1">
      <c r="A90" s="295">
        <f>COUNTIF(C31:C32,"Normal uge 1")+COUNTIF(C31:C32,"Normal uge 2")+COUNTIF(C31:C32,"Normal uge 3")+COUNTIF(C31:C32,"Normal uge 4")+COUNTIF(C31:C32,"Anderledes dag")+COUNTIF(C31:C32,"Feriepasningsdag")+COUNTIF(C31:C32,"Koloni")+COUNTIF(C31:C32,"Ekskursion")+COUNTIF(C31:C32,"Pæd.dag")</f>
        <v>0</v>
      </c>
      <c r="B90" s="295"/>
      <c r="C90" s="295"/>
      <c r="D90" s="295"/>
      <c r="E90" s="288"/>
      <c r="F90" s="288"/>
      <c r="G90" s="288"/>
      <c r="H90" s="291"/>
      <c r="I90" s="33"/>
      <c r="J90" s="33"/>
      <c r="K90" s="33"/>
      <c r="L90" s="33"/>
      <c r="AA90"/>
      <c r="AB90"/>
      <c r="BS90"/>
      <c r="BT90"/>
      <c r="DG90" s="138"/>
    </row>
    <row r="91" spans="1:114" hidden="1">
      <c r="A91" s="295">
        <f>COUNTIF(C38:C39,"Normal uge 1")+COUNTIF(C38:C39,"Normal uge 2")+COUNTIF(C38:C39,"Normal uge 3")+COUNTIF(C38:C39,"Normal uge 4")+COUNTIF(C38:C39,"Anderledes dag")+COUNTIF(C38:C39,"Feriepasningsdag")+COUNTIF(C38:C39,"Koloni")+COUNTIF(C38:C39,"Ekskursion")+COUNTIF(C38:C39,"Pæd.dag")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f>COUNTIF(C45,"Normal uge 1")+COUNTIF(C45,"Normal uge 2")+COUNTIF(C45,"Normal uge 3")+COUNTIF(C45,"Normal uge 4")+COUNTIF(C45,"Anderledes dag")+COUNTIF(C45,"Feriepasningsdag")+COUNTIF(C45,"Koloni")+COUNTIF(C45,"Ekskursion")+COUNTIF(C45,"Pæd.dag")</f>
        <v>0</v>
      </c>
      <c r="B92" s="295"/>
      <c r="C92" s="295"/>
      <c r="D92" s="295"/>
      <c r="E92" s="288"/>
      <c r="F92" s="288"/>
      <c r="G92" s="288"/>
      <c r="H92" s="291"/>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5">
        <f>SUM(A88:A92)</f>
        <v>0</v>
      </c>
      <c r="B93" s="295"/>
      <c r="C93" s="295"/>
      <c r="D93" s="295"/>
      <c r="E93" s="68"/>
      <c r="F93" s="68"/>
      <c r="G93" s="68"/>
      <c r="H93" s="33"/>
      <c r="I93" s="33"/>
      <c r="J93" s="33"/>
      <c r="K93" s="33"/>
      <c r="L93" s="33"/>
    </row>
    <row r="94" spans="1:114" hidden="1">
      <c r="A94" s="300"/>
      <c r="B94" s="300"/>
      <c r="C94" s="300"/>
      <c r="D94" s="300"/>
      <c r="E94" s="68"/>
      <c r="F94" s="68"/>
      <c r="G94" s="68"/>
      <c r="H94" s="33"/>
      <c r="I94" s="33"/>
      <c r="J94" s="33"/>
      <c r="K94" s="33"/>
      <c r="L94" s="33"/>
    </row>
    <row r="95" spans="1:114" hidden="1">
      <c r="A95" s="260"/>
      <c r="B95" s="260"/>
      <c r="C95" s="260"/>
      <c r="D95" s="260"/>
      <c r="E95" s="260"/>
      <c r="F95" s="260"/>
      <c r="G95" s="260"/>
      <c r="H95" s="260"/>
      <c r="I95" s="260"/>
      <c r="J95" s="260"/>
      <c r="K95" s="260"/>
      <c r="L95" s="260"/>
    </row>
    <row r="96" spans="1:114" hidden="1">
      <c r="A96" s="260"/>
      <c r="B96" s="260"/>
      <c r="C96" s="260"/>
      <c r="D96" s="260"/>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c r="A115" s="260"/>
      <c r="B115" s="260"/>
      <c r="C115" s="260"/>
      <c r="D115" s="260"/>
      <c r="E115" s="260"/>
      <c r="F115" s="260"/>
      <c r="G115" s="260"/>
      <c r="H115" s="260"/>
      <c r="I115" s="260"/>
      <c r="J115" s="260"/>
      <c r="K115" s="260"/>
      <c r="L115" s="260"/>
    </row>
    <row r="116" spans="1:12">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row>
    <row r="118" spans="1:12">
      <c r="A118" s="260"/>
      <c r="B118" s="260"/>
      <c r="C118" s="260"/>
      <c r="D118" s="260"/>
      <c r="E118" s="260"/>
      <c r="F118" s="260"/>
      <c r="G118" s="260"/>
      <c r="H118" s="260"/>
      <c r="I118" s="260"/>
      <c r="J118" s="260"/>
      <c r="K118" s="260"/>
    </row>
    <row r="119" spans="1:12">
      <c r="A119" s="260"/>
      <c r="B119" s="260"/>
      <c r="C119" s="260"/>
      <c r="D119" s="260"/>
      <c r="I119" s="260"/>
      <c r="J119" s="260"/>
      <c r="K119" s="260"/>
    </row>
    <row r="120" spans="1:12">
      <c r="A120" s="260"/>
      <c r="B120" s="260"/>
      <c r="C120" s="260"/>
      <c r="D120" s="260"/>
      <c r="J120" s="260"/>
      <c r="K120" s="260"/>
    </row>
    <row r="121" spans="1:12">
      <c r="A121" s="260"/>
      <c r="B121" s="260"/>
      <c r="C121" s="260"/>
      <c r="D121" s="260"/>
    </row>
    <row r="122" spans="1:12">
      <c r="A122" s="260"/>
      <c r="B122" s="260"/>
      <c r="C122" s="260"/>
      <c r="D122" s="260"/>
    </row>
    <row r="123" spans="1:12">
      <c r="A123" s="260"/>
      <c r="B123" s="260"/>
      <c r="C123" s="260"/>
      <c r="D123" s="260"/>
    </row>
    <row r="124" spans="1:12">
      <c r="A124" s="260"/>
      <c r="B124" s="260"/>
      <c r="C124" s="260"/>
      <c r="D124" s="260"/>
    </row>
  </sheetData>
  <sheetProtection sheet="1" objects="1" scenarios="1"/>
  <mergeCells count="116">
    <mergeCell ref="A63:C63"/>
    <mergeCell ref="H62:I62"/>
    <mergeCell ref="L51:U51"/>
    <mergeCell ref="T52:U52"/>
    <mergeCell ref="I55:J55"/>
    <mergeCell ref="N53:S53"/>
    <mergeCell ref="N54:S54"/>
    <mergeCell ref="I57:J57"/>
    <mergeCell ref="L57:S57"/>
    <mergeCell ref="A61:C61"/>
    <mergeCell ref="A62:C62"/>
    <mergeCell ref="A53:G53"/>
    <mergeCell ref="I53:J53"/>
    <mergeCell ref="N52:S52"/>
    <mergeCell ref="A54:H54"/>
    <mergeCell ref="I54:J54"/>
    <mergeCell ref="A56:H56"/>
    <mergeCell ref="I56:J56"/>
    <mergeCell ref="N55:S55"/>
    <mergeCell ref="N56:S56"/>
    <mergeCell ref="A50:G50"/>
    <mergeCell ref="I50:J50"/>
    <mergeCell ref="A51:G51"/>
    <mergeCell ref="I51:J51"/>
    <mergeCell ref="E45:G45"/>
    <mergeCell ref="A48:G48"/>
    <mergeCell ref="I48:J48"/>
    <mergeCell ref="A52:G52"/>
    <mergeCell ref="I52:J52"/>
    <mergeCell ref="L48:S49"/>
    <mergeCell ref="A49:G49"/>
    <mergeCell ref="I49:J49"/>
    <mergeCell ref="E39:G39"/>
    <mergeCell ref="E40:G40"/>
    <mergeCell ref="E41:G41"/>
    <mergeCell ref="E42:G42"/>
    <mergeCell ref="E43:G43"/>
    <mergeCell ref="E44:G44"/>
    <mergeCell ref="E38:G38"/>
    <mergeCell ref="E27:G27"/>
    <mergeCell ref="E28:G28"/>
    <mergeCell ref="E29:G29"/>
    <mergeCell ref="E30:G30"/>
    <mergeCell ref="E31:G31"/>
    <mergeCell ref="E32:G32"/>
    <mergeCell ref="E33:G33"/>
    <mergeCell ref="E34:G34"/>
    <mergeCell ref="E35:G35"/>
    <mergeCell ref="E36:G36"/>
    <mergeCell ref="E37:G37"/>
    <mergeCell ref="E19:G19"/>
    <mergeCell ref="E20:G20"/>
    <mergeCell ref="E21:G21"/>
    <mergeCell ref="E22:G22"/>
    <mergeCell ref="E23:G23"/>
    <mergeCell ref="E24:G24"/>
    <mergeCell ref="E25:G25"/>
    <mergeCell ref="M12:M13"/>
    <mergeCell ref="P12:U12"/>
    <mergeCell ref="N14:O14"/>
    <mergeCell ref="X12:AI12"/>
    <mergeCell ref="AJ12:AN12"/>
    <mergeCell ref="AO12:AS12"/>
    <mergeCell ref="AT12:AX12"/>
    <mergeCell ref="AY12:BC12"/>
    <mergeCell ref="BP12:BZ12"/>
    <mergeCell ref="BD12:BH12"/>
    <mergeCell ref="BI12:BM12"/>
    <mergeCell ref="CU12:CY12"/>
    <mergeCell ref="CZ12:DD12"/>
    <mergeCell ref="A2:D3"/>
    <mergeCell ref="A9:U9"/>
    <mergeCell ref="A10:D10"/>
    <mergeCell ref="E10:G10"/>
    <mergeCell ref="I10:J10"/>
    <mergeCell ref="K10:L10"/>
    <mergeCell ref="N10:O10"/>
    <mergeCell ref="E2:Q3"/>
    <mergeCell ref="A11:M11"/>
    <mergeCell ref="P11:U11"/>
    <mergeCell ref="E12:G14"/>
    <mergeCell ref="I12:J12"/>
    <mergeCell ref="K12:K13"/>
    <mergeCell ref="L12:L13"/>
    <mergeCell ref="N11:O11"/>
    <mergeCell ref="CA12:CT12"/>
    <mergeCell ref="A13:D14"/>
    <mergeCell ref="H13:H14"/>
    <mergeCell ref="I14:M14"/>
    <mergeCell ref="P14:R14"/>
    <mergeCell ref="S14:U14"/>
    <mergeCell ref="N12:O12"/>
    <mergeCell ref="A4:H4"/>
    <mergeCell ref="A8:B8"/>
    <mergeCell ref="C8:D8"/>
    <mergeCell ref="E8:F8"/>
    <mergeCell ref="G8:H8"/>
    <mergeCell ref="H61:I61"/>
    <mergeCell ref="A6:B6"/>
    <mergeCell ref="C6:D6"/>
    <mergeCell ref="E6:F6"/>
    <mergeCell ref="G6:H6"/>
    <mergeCell ref="A7:B7"/>
    <mergeCell ref="C7:D7"/>
    <mergeCell ref="E7:F7"/>
    <mergeCell ref="G7:H7"/>
    <mergeCell ref="A5:B5"/>
    <mergeCell ref="C5:D5"/>
    <mergeCell ref="E5:F5"/>
    <mergeCell ref="G5:H5"/>
    <mergeCell ref="I5:J5"/>
    <mergeCell ref="E26:G26"/>
    <mergeCell ref="E15:G15"/>
    <mergeCell ref="E16:G16"/>
    <mergeCell ref="E17:G17"/>
    <mergeCell ref="E18:G18"/>
  </mergeCells>
  <conditionalFormatting sqref="A15:H15 D16:H37 A16:C45 D38:E38 H38 D39:H45">
    <cfRule type="expression" dxfId="1205" priority="27">
      <formula>OR($C15="Orlov")</formula>
    </cfRule>
    <cfRule type="expression" dxfId="1204" priority="2">
      <formula>OR($C15="Normal uge 6")</formula>
    </cfRule>
    <cfRule type="expression" dxfId="1203" priority="3" stopIfTrue="1">
      <formula>OR($C15="Normal uge 5")</formula>
    </cfRule>
    <cfRule type="expression" dxfId="1202" priority="41" stopIfTrue="1">
      <formula>OR($C15="Rul 2")</formula>
    </cfRule>
    <cfRule type="expression" dxfId="1201" priority="40">
      <formula>OR($C15="weekend")</formula>
    </cfRule>
    <cfRule type="expression" dxfId="1200" priority="39">
      <formula>OR($C15="feriedag")</formula>
    </cfRule>
    <cfRule type="expression" dxfId="1199" priority="38" stopIfTrue="1">
      <formula>OR($C15="Ferieåbning")</formula>
    </cfRule>
    <cfRule type="expression" dxfId="1198" priority="37">
      <formula>OR($C15="Anderledes dag")</formula>
    </cfRule>
    <cfRule type="expression" dxfId="1197" priority="36">
      <formula>OR($C15="Koloni")</formula>
    </cfRule>
    <cfRule type="expression" dxfId="1196" priority="35">
      <formula>OR($C15="ekskursion")</formula>
    </cfRule>
    <cfRule type="expression" dxfId="1195" priority="34">
      <formula>OR($C15="SH-dag")</formula>
    </cfRule>
    <cfRule type="expression" dxfId="1194" priority="33">
      <formula>OR($C15="nul-dag")</formula>
    </cfRule>
    <cfRule type="expression" dxfId="1193" priority="16" stopIfTrue="1">
      <formula>OR($C15="Rul 6")</formula>
    </cfRule>
    <cfRule type="expression" dxfId="1192" priority="17" stopIfTrue="1">
      <formula>OR($C15="Rul 5")</formula>
    </cfRule>
    <cfRule type="expression" dxfId="1191" priority="18" stopIfTrue="1">
      <formula>OR($C15="Rul 4")</formula>
    </cfRule>
    <cfRule type="expression" dxfId="1190" priority="19" stopIfTrue="1">
      <formula>OR($C15="Rul 3")</formula>
    </cfRule>
    <cfRule type="expression" dxfId="1189" priority="20" stopIfTrue="1">
      <formula>OR($C15="Rul 1")</formula>
    </cfRule>
    <cfRule type="expression" dxfId="1188" priority="21">
      <formula>OR($C15="Normal uge 1")</formula>
    </cfRule>
    <cfRule type="expression" dxfId="1187" priority="32">
      <formula>OR($C15="pæd.dag")</formula>
    </cfRule>
    <cfRule type="expression" dxfId="1186" priority="31">
      <formula>OR($C15="Ikke relevant")</formula>
    </cfRule>
    <cfRule type="expression" dxfId="1185" priority="30">
      <formula>OR($C15="Normal uge 4")</formula>
    </cfRule>
    <cfRule type="expression" dxfId="1184" priority="29">
      <formula>OR($C15="Normal uge 3")</formula>
    </cfRule>
    <cfRule type="expression" dxfId="1183" priority="28">
      <formula>OR($C15="Normal uge 2")</formula>
    </cfRule>
  </conditionalFormatting>
  <conditionalFormatting sqref="E26">
    <cfRule type="expression" dxfId="1182" priority="52">
      <formula>OR($D25="Ikke relevant")</formula>
    </cfRule>
    <cfRule type="expression" dxfId="1181" priority="42">
      <formula>OR($D25="pæd.dag")</formula>
    </cfRule>
    <cfRule type="expression" dxfId="1180" priority="50">
      <formula>OR($D25="weekend")</formula>
    </cfRule>
    <cfRule type="expression" dxfId="1179" priority="49">
      <formula>OR($D25="feriedag")</formula>
    </cfRule>
    <cfRule type="expression" dxfId="1178" priority="48">
      <formula>OR($D25="fagdag")</formula>
    </cfRule>
    <cfRule type="expression" dxfId="1177" priority="47">
      <formula>OR($D25="emnedag")</formula>
    </cfRule>
    <cfRule type="expression" dxfId="1176" priority="46">
      <formula>OR($D25="lejrskole")</formula>
    </cfRule>
    <cfRule type="expression" dxfId="1175" priority="45">
      <formula>OR($D25="ekskursion")</formula>
    </cfRule>
    <cfRule type="expression" dxfId="1174" priority="44">
      <formula>OR($D25="SH-dag")</formula>
    </cfRule>
    <cfRule type="expression" dxfId="1173" priority="51" stopIfTrue="1">
      <formula>OR($D25="skoledag")</formula>
    </cfRule>
    <cfRule type="expression" dxfId="1172" priority="43">
      <formula>OR($D25="nul-dag")</formula>
    </cfRule>
  </conditionalFormatting>
  <conditionalFormatting sqref="I15:J45">
    <cfRule type="expression" dxfId="1171" priority="25">
      <formula>OR($C15="Koloni",)</formula>
    </cfRule>
    <cfRule type="expression" dxfId="1170" priority="15" stopIfTrue="1">
      <formula>OR($C15="Ferieåbning",)</formula>
    </cfRule>
    <cfRule type="expression" dxfId="1169" priority="14">
      <formula>OR($C15="Anderledes dag",)</formula>
    </cfRule>
    <cfRule type="expression" dxfId="1168" priority="13">
      <formula>OR($C15="Ekskursion",)</formula>
    </cfRule>
  </conditionalFormatting>
  <conditionalFormatting sqref="J15:J45">
    <cfRule type="expression" dxfId="1167" priority="26">
      <formula>OR($C15="Pæd.dag",)</formula>
    </cfRule>
  </conditionalFormatting>
  <conditionalFormatting sqref="M15:M45">
    <cfRule type="expression" dxfId="1166" priority="53">
      <formula>OR($H15&gt;"0",)</formula>
    </cfRule>
  </conditionalFormatting>
  <conditionalFormatting sqref="O15:O45">
    <cfRule type="expression" dxfId="1164" priority="8">
      <formula>OR($N15&gt;0,)</formula>
    </cfRule>
  </conditionalFormatting>
  <conditionalFormatting sqref="S15:S45">
    <cfRule type="expression" dxfId="1163" priority="24">
      <formula>OR($P15="X",)</formula>
    </cfRule>
  </conditionalFormatting>
  <conditionalFormatting sqref="T15:T45">
    <cfRule type="expression" dxfId="1162" priority="23">
      <formula>OR($Q15="X",)</formula>
    </cfRule>
  </conditionalFormatting>
  <conditionalFormatting sqref="T53:T56">
    <cfRule type="expression" dxfId="1161" priority="5">
      <formula>OR($L53&gt;0,)</formula>
    </cfRule>
  </conditionalFormatting>
  <conditionalFormatting sqref="U15:U45">
    <cfRule type="expression" dxfId="1160" priority="22">
      <formula>OR($R15="X",)</formula>
    </cfRule>
  </conditionalFormatting>
  <conditionalFormatting sqref="U53:U54 U56">
    <cfRule type="expression" dxfId="1159" priority="10">
      <formula>OR($M53&gt;0,)</formula>
    </cfRule>
  </conditionalFormatting>
  <conditionalFormatting sqref="U55:W55">
    <cfRule type="expression" dxfId="1158" priority="6">
      <formula>OR($M55&gt;0,)</formula>
    </cfRule>
  </conditionalFormatting>
  <conditionalFormatting sqref="BN54 BN56:BN57">
    <cfRule type="expression" dxfId="1157" priority="1">
      <formula>OR(#REF!&gt;0,)</formula>
    </cfRule>
  </conditionalFormatting>
  <conditionalFormatting sqref="BP55">
    <cfRule type="expression" dxfId="1156" priority="7">
      <formula>OR(#REF!&gt;0,)</formula>
    </cfRule>
  </conditionalFormatting>
  <conditionalFormatting sqref="BR58">
    <cfRule type="expression" dxfId="1155" priority="54">
      <formula>OR(#REF!&gt;0,)</formula>
    </cfRule>
  </conditionalFormatting>
  <dataValidations count="3">
    <dataValidation type="list" allowBlank="1" showInputMessage="1" sqref="C15:C45" xr:uid="{D15B89CE-BEF0-C941-BFFD-61F4CECDCBC4}">
      <formula1>$A$60:$A$82</formula1>
    </dataValidation>
    <dataValidation type="list" allowBlank="1" showInputMessage="1" showErrorMessage="1" sqref="R15:R43 P15:Q45 L53:M54 L56:M56" xr:uid="{C7EC8722-5973-E640-8354-FA916782B20B}">
      <formula1>$Y$1:$Y$2</formula1>
    </dataValidation>
    <dataValidation type="list" allowBlank="1" showInputMessage="1" showErrorMessage="1" sqref="L55:M55" xr:uid="{5C7A3B63-E687-1348-A8A7-3D6FEA38B9A1}">
      <formula1>$AA$1:$AA$2</formula1>
    </dataValidation>
  </dataValidations>
  <hyperlinks>
    <hyperlink ref="A5:B5" location="'Normal uger'!A11" display="Normale uger" xr:uid="{56B4B544-91F0-1D44-AA60-AC95BCF1C756}"/>
    <hyperlink ref="C5:D5" location="Rul!B20" display="Rul" xr:uid="{102B220F-531E-F54D-A426-8F809A629BC4}"/>
    <hyperlink ref="E5:F5" location="Arbejdstidsoversigt!A19" display="Arbejdstids-oversigt" xr:uid="{6574BFBA-0C84-1F4F-8AF8-C691898FF161}"/>
    <hyperlink ref="G5:H5" location="Opgørelse!B12" display="Opgørelse" xr:uid="{EA673EC4-EF5E-3146-86C5-DC237DCB0CDD}"/>
    <hyperlink ref="A6:B6" location="August!A12" display="August" xr:uid="{B2CA04EA-9A99-7C45-ADDA-6A58A2747A07}"/>
    <hyperlink ref="C6:D6" location="September!A8" display="September" xr:uid="{22463EEE-D816-1C45-A6BA-EDB20AB042D9}"/>
    <hyperlink ref="E6:F6" location="Oktober!A8" display="Oktober" xr:uid="{3325891F-2331-E149-998A-18CDD2062113}"/>
    <hyperlink ref="G6:H6" location="November!A8" display="November" xr:uid="{D3C81310-59EF-5342-9ED1-890A9EC2B5C1}"/>
    <hyperlink ref="A7:B7" location="December!A8" display="December" xr:uid="{78A89D63-FFA1-9B41-824B-CF4928734242}"/>
    <hyperlink ref="C7:D7" location="Januar!A8" display="Januar" xr:uid="{EF03EDB7-A64A-AD48-8AF6-83B7DF0B15E9}"/>
    <hyperlink ref="E7:F7" location="Februar!A8" display="Februar" xr:uid="{A0903DCF-9635-4444-844F-ACE844F7362B}"/>
    <hyperlink ref="A8:B8" location="April!A8" display="April" xr:uid="{5460CCA0-04C6-8044-A74E-F71873402ECF}"/>
    <hyperlink ref="C8:D8" location="Maj!A8" display="Maj" xr:uid="{DADF7F1A-FEC4-3047-96D9-BF7CFA31364A}"/>
    <hyperlink ref="E8:F8" location="Juni!A8" display="Juni" xr:uid="{FA443DB4-F9CC-E045-B4C8-2DAEF32E092F}"/>
    <hyperlink ref="G8:H8" location="Juli!A8" display="Juli" xr:uid="{D3199887-F240-4048-A6EF-0FCEEDE0063C}"/>
    <hyperlink ref="G7:H7" location="Marts!A8" display="Marts" xr:uid="{F8323E13-49F3-6A42-A4CE-DBA7366F9D71}"/>
    <hyperlink ref="I5:J5" location="Stamoplysninger!E18" display="Stamoplysninger" xr:uid="{20567A47-D59F-124C-9B32-0AE18095A921}"/>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E2A874C9-5D02-D84D-A874-71F79182888B}">
            <xm:f>OR(Arbejdstidsoversigt!$H$54="Puljetimer registreres ikke men afvikles jævnt hen over normperioden",)</xm:f>
            <x14:dxf>
              <fill>
                <patternFill>
                  <bgColor theme="1"/>
                </patternFill>
              </fill>
            </x14:dxf>
          </x14:cfRule>
          <xm:sqref>N15:N45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AE7B-9899-D84B-BD44-611F11DE531A}">
  <sheetPr>
    <tabColor theme="4" tint="-0.249977111117893"/>
    <pageSetUpPr fitToPage="1"/>
  </sheetPr>
  <dimension ref="A1:DP125"/>
  <sheetViews>
    <sheetView topLeftCell="A13" zoomScaleNormal="100" workbookViewId="0">
      <selection activeCell="M38" sqref="M3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40" customHeight="1">
      <c r="A2" s="886">
        <v>2</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Februar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Januar!A12</f>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132</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2" si="0">CHOOSE(MOD(WEEKDAY(DATE(A$12,A$2,A15)),7)+1,"lø","sø","ma","ti","on","to","fr",)</f>
        <v>sø</v>
      </c>
      <c r="C15" s="73" t="s">
        <v>77</v>
      </c>
      <c r="D15" s="74" t="str">
        <f t="shared" ref="D15:D43"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3" si="2">IF(Q15="x",T15-L15,0)</f>
        <v>0</v>
      </c>
      <c r="X15" s="358">
        <f>IF($C$15="Anderledes dag",$I$15,0)</f>
        <v>0</v>
      </c>
      <c r="Y15" s="358">
        <f>IF(C15="Ferieåbning",I15,0)</f>
        <v>0</v>
      </c>
      <c r="Z15" s="358">
        <f t="shared" ref="Z15:Z43"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3" si="4">SUM(AJ15:AN15)*24</f>
        <v>0</v>
      </c>
      <c r="BP15" s="358">
        <f t="shared" ref="BP15:BP43" si="5">IF(C15="Anderledes dag",J15,0)</f>
        <v>0</v>
      </c>
      <c r="BQ15" s="358">
        <f t="shared" ref="BQ15:BQ43" si="6">IF(C15="Ferieåbning",J15,0)</f>
        <v>0</v>
      </c>
      <c r="BR15" s="358">
        <f t="shared" ref="BR15:BR43" si="7">IF(C15="Pæd.dag",J15,0)</f>
        <v>0</v>
      </c>
      <c r="BS15" s="358">
        <f t="shared" ref="BS15:BS43" si="8">IF(C15="Ekskursion",J15,0)</f>
        <v>0</v>
      </c>
      <c r="BT15" s="358">
        <f t="shared" ref="BT15:BT43"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3" si="10">IF(AND(E15&gt;0,H15&gt;0),""&amp;E15&amp;" og "&amp;H15&amp;"","")</f>
        <v/>
      </c>
      <c r="DG15">
        <f t="shared" ref="DG15:DG43" si="11">IF(H15="",E15,"")</f>
        <v>0</v>
      </c>
      <c r="DH15">
        <f t="shared" ref="DH15:DH43" si="12">IF(E15="",H15,"")</f>
        <v>0</v>
      </c>
      <c r="DI15" t="str">
        <f t="shared" ref="DI15:DK44" si="13">IF(DF15=0,"",DF15)</f>
        <v/>
      </c>
      <c r="DJ15" t="str">
        <f>IF(DG15=0,"",DG15)</f>
        <v/>
      </c>
      <c r="DK15" t="str">
        <f>IF(DH15=0,"",DH15)</f>
        <v/>
      </c>
      <c r="DL15" t="str">
        <f>DI15&amp;""&amp;DJ15&amp;""&amp;DK15</f>
        <v/>
      </c>
    </row>
    <row r="16" spans="1:116">
      <c r="A16" s="135">
        <f t="shared" ref="A16:A42" si="14">IF(ISNUMBER(A15),A15+1,1)</f>
        <v>2</v>
      </c>
      <c r="B16" s="72" t="str">
        <f t="shared" si="0"/>
        <v>ma</v>
      </c>
      <c r="C16" s="73" t="s">
        <v>217</v>
      </c>
      <c r="D16" s="74">
        <f t="shared" si="1"/>
        <v>5.5714285714285712</v>
      </c>
      <c r="E16" s="858"/>
      <c r="F16" s="859"/>
      <c r="G16" s="860"/>
      <c r="H16" s="175"/>
      <c r="I16" s="221"/>
      <c r="J16" s="221"/>
      <c r="K16" s="191">
        <f t="shared" ref="K16:K42" si="15">BN16</f>
        <v>0</v>
      </c>
      <c r="L16" s="191">
        <f t="shared" ref="L16:L42" si="16">DE16</f>
        <v>0</v>
      </c>
      <c r="M16" s="238"/>
      <c r="N16" s="357"/>
      <c r="O16" s="408"/>
      <c r="P16" s="195"/>
      <c r="Q16" s="196"/>
      <c r="R16" s="196"/>
      <c r="S16" s="192"/>
      <c r="T16" s="255"/>
      <c r="U16" s="193"/>
      <c r="V16">
        <f t="shared" ref="V16:V43" si="17">IF(P16="x",S16-K16,0)</f>
        <v>0</v>
      </c>
      <c r="W16">
        <f t="shared" si="2"/>
        <v>0</v>
      </c>
      <c r="X16" s="358">
        <f t="shared" ref="X16:X43" si="18">IF(C16="Anderledes dag",I16,0)</f>
        <v>0</v>
      </c>
      <c r="Y16" s="358">
        <f t="shared" ref="Y16:Y43" si="19">IF(C16="Ferieåbning",I16,0)</f>
        <v>0</v>
      </c>
      <c r="Z16" s="358">
        <f t="shared" si="3"/>
        <v>0</v>
      </c>
      <c r="AA16" s="358">
        <f t="shared" ref="AA16:AA43" si="20">IF(C16="Ekskursion",I16,0)</f>
        <v>0</v>
      </c>
      <c r="AB16" s="358">
        <f t="shared" ref="AB16:AB43"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3"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4" si="23">SUM(BP16:DD16)</f>
        <v>0</v>
      </c>
      <c r="DF16" t="str">
        <f t="shared" si="10"/>
        <v/>
      </c>
      <c r="DG16">
        <f t="shared" si="11"/>
        <v>0</v>
      </c>
      <c r="DH16">
        <f t="shared" si="12"/>
        <v>0</v>
      </c>
      <c r="DI16" t="str">
        <f t="shared" si="13"/>
        <v/>
      </c>
      <c r="DJ16" t="str">
        <f t="shared" si="13"/>
        <v/>
      </c>
      <c r="DK16" t="str">
        <f t="shared" si="13"/>
        <v/>
      </c>
      <c r="DL16" t="str">
        <f t="shared" ref="DL16:DL43" si="24">DI16&amp;""&amp;DJ16&amp;""&amp;DK16</f>
        <v/>
      </c>
    </row>
    <row r="17" spans="1:116">
      <c r="A17" s="135">
        <f t="shared" si="14"/>
        <v>3</v>
      </c>
      <c r="B17" s="72" t="str">
        <f t="shared" si="0"/>
        <v>ti</v>
      </c>
      <c r="C17" s="73" t="s">
        <v>217</v>
      </c>
      <c r="D17" s="74" t="str">
        <f t="shared" si="1"/>
        <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on</v>
      </c>
      <c r="C18" s="73" t="s">
        <v>217</v>
      </c>
      <c r="D18" s="74" t="str">
        <f t="shared" si="1"/>
        <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to</v>
      </c>
      <c r="C19" s="73" t="s">
        <v>217</v>
      </c>
      <c r="D19" s="74" t="str">
        <f t="shared" si="1"/>
        <v/>
      </c>
      <c r="E19" s="858"/>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f t="shared" si="11"/>
        <v>0</v>
      </c>
      <c r="DH19">
        <f t="shared" si="12"/>
        <v>0</v>
      </c>
      <c r="DI19" t="str">
        <f t="shared" si="13"/>
        <v/>
      </c>
      <c r="DJ19" t="str">
        <f t="shared" si="13"/>
        <v/>
      </c>
      <c r="DK19" t="str">
        <f t="shared" si="13"/>
        <v/>
      </c>
      <c r="DL19" t="str">
        <f t="shared" si="24"/>
        <v/>
      </c>
    </row>
    <row r="20" spans="1:116" ht="16" customHeight="1">
      <c r="A20" s="135">
        <f t="shared" si="14"/>
        <v>6</v>
      </c>
      <c r="B20" s="72" t="str">
        <f t="shared" si="0"/>
        <v>fr</v>
      </c>
      <c r="C20" s="73" t="s">
        <v>217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lø</v>
      </c>
      <c r="C21" s="73" t="s">
        <v>77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sø</v>
      </c>
      <c r="C22" s="73" t="s">
        <v>77</v>
      </c>
      <c r="D22" s="74" t="str">
        <f t="shared" si="1"/>
        <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ma</v>
      </c>
      <c r="C23" s="73" t="s">
        <v>217</v>
      </c>
      <c r="D23" s="74">
        <f t="shared" si="1"/>
        <v>6.5714285714285712</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ti</v>
      </c>
      <c r="C24" s="73" t="s">
        <v>217</v>
      </c>
      <c r="D24" s="74" t="str">
        <f t="shared" si="1"/>
        <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on</v>
      </c>
      <c r="C25" s="73" t="s">
        <v>217</v>
      </c>
      <c r="D25" s="74" t="str">
        <f t="shared" si="1"/>
        <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to</v>
      </c>
      <c r="C26" s="73" t="s">
        <v>217</v>
      </c>
      <c r="D26" s="74" t="str">
        <f t="shared" si="1"/>
        <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fr</v>
      </c>
      <c r="C27" s="73" t="s">
        <v>217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lø</v>
      </c>
      <c r="C28" s="73" t="s">
        <v>77</v>
      </c>
      <c r="D28" s="74" t="str">
        <f t="shared" si="1"/>
        <v/>
      </c>
      <c r="E28" s="861"/>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15</v>
      </c>
      <c r="B29" s="72" t="str">
        <f t="shared" si="0"/>
        <v>sø</v>
      </c>
      <c r="C29" s="73" t="s">
        <v>77</v>
      </c>
      <c r="D29" s="74" t="str">
        <f t="shared" si="1"/>
        <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ma</v>
      </c>
      <c r="C30" s="73" t="s">
        <v>217</v>
      </c>
      <c r="D30" s="74">
        <f t="shared" si="1"/>
        <v>7.5714285714285712</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ti</v>
      </c>
      <c r="C31" s="73" t="s">
        <v>217</v>
      </c>
      <c r="D31" s="74" t="str">
        <f t="shared" si="1"/>
        <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on</v>
      </c>
      <c r="C32" s="73" t="s">
        <v>217</v>
      </c>
      <c r="D32" s="74" t="str">
        <f t="shared" si="1"/>
        <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to</v>
      </c>
      <c r="C33" s="73" t="s">
        <v>217</v>
      </c>
      <c r="D33" s="74" t="str">
        <f t="shared" si="1"/>
        <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fr</v>
      </c>
      <c r="C34" s="73" t="s">
        <v>217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lø</v>
      </c>
      <c r="C35" s="73" t="s">
        <v>77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sø</v>
      </c>
      <c r="C36" s="73" t="s">
        <v>77</v>
      </c>
      <c r="D36" s="74" t="str">
        <f t="shared" si="1"/>
        <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ma</v>
      </c>
      <c r="C37" s="73" t="s">
        <v>217</v>
      </c>
      <c r="D37" s="74">
        <f t="shared" si="1"/>
        <v>8.5714285714285712</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ti</v>
      </c>
      <c r="C38" s="73" t="s">
        <v>217</v>
      </c>
      <c r="D38" s="74" t="str">
        <f t="shared" si="1"/>
        <v/>
      </c>
      <c r="E38" s="861"/>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25</v>
      </c>
      <c r="B39" s="72" t="str">
        <f t="shared" si="0"/>
        <v>on</v>
      </c>
      <c r="C39" s="73" t="s">
        <v>217</v>
      </c>
      <c r="D39" s="74" t="str">
        <f t="shared" si="1"/>
        <v/>
      </c>
      <c r="E39" s="858"/>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 t="shared" si="14"/>
        <v>26</v>
      </c>
      <c r="B40" s="72" t="str">
        <f t="shared" si="0"/>
        <v>to</v>
      </c>
      <c r="C40" s="73" t="s">
        <v>217</v>
      </c>
      <c r="D40" s="74" t="str">
        <f t="shared" si="1"/>
        <v/>
      </c>
      <c r="E40" s="858"/>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f t="shared" si="11"/>
        <v>0</v>
      </c>
      <c r="DH40">
        <f t="shared" si="12"/>
        <v>0</v>
      </c>
      <c r="DI40" t="str">
        <f t="shared" si="13"/>
        <v/>
      </c>
      <c r="DJ40" t="str">
        <f t="shared" si="13"/>
        <v/>
      </c>
      <c r="DK40" t="str">
        <f t="shared" si="13"/>
        <v/>
      </c>
      <c r="DL40" t="str">
        <f t="shared" si="24"/>
        <v/>
      </c>
    </row>
    <row r="41" spans="1:116">
      <c r="A41" s="135">
        <f t="shared" si="14"/>
        <v>27</v>
      </c>
      <c r="B41" s="72" t="str">
        <f t="shared" si="0"/>
        <v>fr</v>
      </c>
      <c r="C41" s="73" t="s">
        <v>217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lø</v>
      </c>
      <c r="C42" s="73" t="s">
        <v>77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hidden="1">
      <c r="A43" s="135"/>
      <c r="B43" s="72"/>
      <c r="C43" s="73"/>
      <c r="D43" s="74" t="str">
        <f t="shared" si="1"/>
        <v/>
      </c>
      <c r="E43" s="858"/>
      <c r="F43" s="859"/>
      <c r="G43" s="860"/>
      <c r="H43" s="175"/>
      <c r="I43" s="221"/>
      <c r="J43" s="221"/>
      <c r="K43" s="191"/>
      <c r="L43" s="191"/>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t="str">
        <f>IF(AND(C43="Normal uge 1",B43="ma"),'Normal uger'!$E$48,"")</f>
        <v/>
      </c>
      <c r="AK43" s="359" t="str">
        <f>IF(AND(C43="Normal uge 1",B43="ti"),'Normal uger'!$G$48,"")</f>
        <v/>
      </c>
      <c r="AL43" s="359" t="str">
        <f>IF(AND(C43="Normal uge 1",B43="on"),'Normal uger'!$I$48,"")</f>
        <v/>
      </c>
      <c r="AM43" s="359" t="str">
        <f>IF(AND(C43="Normal uge 1",B43="to"),'Normal uger'!$K$48,"")</f>
        <v/>
      </c>
      <c r="AN43" s="359" t="str">
        <f>IF(AND(C43="Normal uge 1",B43="fr"),'Normal uger'!$M$48,"")</f>
        <v/>
      </c>
      <c r="AO43" s="360" t="str">
        <f>IF(AND(C43="Normal uge 2",B43="ma"),'Normal uger'!$S$48,"")</f>
        <v/>
      </c>
      <c r="AP43" s="360" t="str">
        <f>IF(AND(C43="Normal uge 2",B43="ti"),'Normal uger'!$U$48,"")</f>
        <v/>
      </c>
      <c r="AQ43" s="360" t="str">
        <f>IF(AND(C43="Normal uge 2",B43="on"),'Normal uger'!$W$48,"")</f>
        <v/>
      </c>
      <c r="AR43" s="360" t="str">
        <f>IF(AND(C43="Normal uge 2",B43="to"),'Normal uger'!$Y$48,"")</f>
        <v/>
      </c>
      <c r="AS43" s="360" t="str">
        <f>IF(AND(C43="Normal uge 2",B43="fr"),'Normal uger'!$AA$48,"")</f>
        <v/>
      </c>
      <c r="AT43" s="361" t="str">
        <f>IF(AND(C43="Normal uge 3",B43="ma"),'Normal uger'!$AG$48,"")</f>
        <v/>
      </c>
      <c r="AU43" s="361" t="str">
        <f>IF(AND(C43="Normal uge 3",B43="ti"),'Normal uger'!$AI$48,"")</f>
        <v/>
      </c>
      <c r="AV43" s="361" t="str">
        <f>IF(AND(C43="Normal uge 3",B43="on"),'Normal uger'!$AK$48,"")</f>
        <v/>
      </c>
      <c r="AW43" s="361" t="str">
        <f>IF(AND(C43="Normal uge 3",B43="to"),'Normal uger'!$AM$48,"")</f>
        <v/>
      </c>
      <c r="AX43" s="361" t="str">
        <f>IF(AND(C43="Normal uge 3",B43="fr"),'Normal uger'!$AO$48,"")</f>
        <v/>
      </c>
      <c r="AY43" s="362" t="str">
        <f>IF(AND(C43="Normal uge 4",B43="ma"),'Normal uger'!$AU$48,"")</f>
        <v/>
      </c>
      <c r="AZ43" s="362" t="str">
        <f>IF(AND(C43="Normal uge 4",B43="ti"),'Normal uger'!$AW$48,"")</f>
        <v/>
      </c>
      <c r="BA43" s="362" t="str">
        <f>IF(AND(C43="Normal uge 4",B43="on"),'Normal uger'!$AY$48,"")</f>
        <v/>
      </c>
      <c r="BB43" s="362" t="str">
        <f>IF(AND(C43="Normal uge 4",B43="to"),'Normal uger'!$BA$48,"")</f>
        <v/>
      </c>
      <c r="BC43" s="362" t="str">
        <f>IF(AND(C43="Normal uge 4",B43="fr"),'Normal uger'!$BC$48,"")</f>
        <v/>
      </c>
      <c r="BD43" s="655" t="str">
        <f>IF(AND(C43="Normal uge 5",B43="ma"),'Normal uger'!$BI$48,"")</f>
        <v/>
      </c>
      <c r="BE43" s="655" t="str">
        <f>IF(AND(C43="Normal uge 5",B43="ti"),'Normal uger'!$BK$48,"")</f>
        <v/>
      </c>
      <c r="BF43" s="655" t="str">
        <f>IF(AND(C43="Normal uge 5",B43="on"),'Normal uger'!$BM$48,"")</f>
        <v/>
      </c>
      <c r="BG43" s="655" t="str">
        <f>IF(AND(C43="Normal uge 5",B43="to"),'Normal uger'!$BO$48,"")</f>
        <v/>
      </c>
      <c r="BH43" s="655" t="str">
        <f>IF(AND(C43="Normal uge 5",B43="fr"),'Normal uger'!$BQ$48,"")</f>
        <v/>
      </c>
      <c r="BI43" s="654" t="str">
        <f>IF(AND(C43="Normal uge 6",B43="ma"),'Normal uger'!$BW$48,"")</f>
        <v/>
      </c>
      <c r="BJ43" s="654" t="str">
        <f>IF(AND(C43="Normal uge 6",B43="ti"),'Normal uger'!$BY$48,"")</f>
        <v/>
      </c>
      <c r="BK43" s="654" t="str">
        <f>IF(AND(C43="Normal uge 6",B43="on"),'Normal uger'!$CA$48,"")</f>
        <v/>
      </c>
      <c r="BL43" s="654" t="str">
        <f>IF(AND(C43="Normal uge 6",B43="to"),'Normal uger'!$CC$48,"")</f>
        <v/>
      </c>
      <c r="BM43" s="654" t="str">
        <f>IF(AND(C43="Normal uge 6",B43="fr"),'Normal uger'!$CE$48,"")</f>
        <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t="str">
        <f>IF(AND(C43="Normal uge 1",B43="ma"),'Normal uger'!$E$51,"")</f>
        <v/>
      </c>
      <c r="CB43" s="359" t="str">
        <f>IF(AND(C43="Normal uge 1",B43="ti"),'Normal uger'!$G$51,"")</f>
        <v/>
      </c>
      <c r="CC43" s="359" t="str">
        <f>IF(AND(C43="Normal uge 1",B43="on"),'Normal uger'!$I$51,"")</f>
        <v/>
      </c>
      <c r="CD43" s="359" t="str">
        <f>IF(AND(C43="Normal uge 1",B43="to"),'Normal uger'!$K$51,"")</f>
        <v/>
      </c>
      <c r="CE43" s="359" t="str">
        <f>IF(AND(C43="Normal uge 1",B43="fr"),'Normal uger'!$M$51,"")</f>
        <v/>
      </c>
      <c r="CF43" s="360" t="str">
        <f>IF(AND(C43="Normal uge 2",B43="ma"),'Normal uger'!$S$51,"")</f>
        <v/>
      </c>
      <c r="CG43" s="360" t="str">
        <f>IF(AND(C43="Normal uge 2",B43="ti"),'Normal uger'!$U$51,"")</f>
        <v/>
      </c>
      <c r="CH43" s="360" t="str">
        <f>IF(AND(C43="Normal uge 2",B43="on"),'Normal uger'!$W$51,"")</f>
        <v/>
      </c>
      <c r="CI43" s="360" t="str">
        <f>IF(AND(C43="Normal uge 2",B43="to"),'Normal uger'!$Y$51,"")</f>
        <v/>
      </c>
      <c r="CJ43" s="360" t="str">
        <f>IF(AND(C43="Normal uge 2",B43="fr"),'Normal uger'!$AA$51,"")</f>
        <v/>
      </c>
      <c r="CK43" s="361" t="str">
        <f>IF(AND(C43="Normal uge 3",B43="ma"),'Normal uger'!$AG$51,"")</f>
        <v/>
      </c>
      <c r="CL43" s="361" t="str">
        <f>IF(AND(C43="Normal uge 3",B43="ti"),'Normal uger'!$AI$51,"")</f>
        <v/>
      </c>
      <c r="CM43" s="361" t="str">
        <f>IF(AND(C43="Normal uge 3",B43="on"),'Normal uger'!$AK$51,"")</f>
        <v/>
      </c>
      <c r="CN43" s="361" t="str">
        <f>IF(AND(C43="Normal uge 3",B43="to"),'Normal uger'!$AM$51,"")</f>
        <v/>
      </c>
      <c r="CO43" s="361" t="str">
        <f>IF(AND(C43="Normal uge 3",B43="fr"),'Normal uger'!$AO$51,"")</f>
        <v/>
      </c>
      <c r="CP43" s="362" t="str">
        <f>IF(AND(C43="Normal uge 4",B43="ma"),'Normal uger'!$AU$51,"")</f>
        <v/>
      </c>
      <c r="CQ43" s="362" t="str">
        <f>IF(AND(C43="Normal uge 4",B43="ti"),'Normal uger'!$AW$51,"")</f>
        <v/>
      </c>
      <c r="CR43" s="362" t="str">
        <f>IF(AND(C43="Normal uge 4",B43="on"),'Normal uger'!$AY$51,"")</f>
        <v/>
      </c>
      <c r="CS43" s="362" t="str">
        <f>IF(AND(C43="Normal uge 4",B43="to"),'Normal uger'!$BA$51,"")</f>
        <v/>
      </c>
      <c r="CT43" s="362" t="str">
        <f>IF(AND(C43="Normal uge 4",B43="fr"),'Normal uger'!$BC$51,"")</f>
        <v/>
      </c>
      <c r="CU43" s="655" t="str">
        <f>IF(AND(C43="Normal uge 5",B43="ma"),'Normal uger'!$BI$51,"")</f>
        <v/>
      </c>
      <c r="CV43" s="655" t="str">
        <f>IF(AND(C43="Normal uge 5",B43="ti"),'Normal uger'!$BK$51,"")</f>
        <v/>
      </c>
      <c r="CW43" s="655" t="str">
        <f>IF(AND(C43="Normal uge 5",B43="on"),'Normal uger'!$BM$51,"")</f>
        <v/>
      </c>
      <c r="CX43" s="655" t="str">
        <f>IF(AND(C43="Normal uge 5",B43="to"),'Normal uger'!$BO$51,"")</f>
        <v/>
      </c>
      <c r="CY43" s="655" t="str">
        <f>IF(AND(C43="Normal uge 5",B43="fr"),'Normal uger'!$BQ$51,"")</f>
        <v/>
      </c>
      <c r="CZ43" s="654" t="str">
        <f>IF(AND(C43="Normal uge 6",B43="ma"),'Normal uger'!$BW$51,"")</f>
        <v/>
      </c>
      <c r="DA43" s="654" t="str">
        <f>IF(AND(C43="Normal uge 6",B43="ti"),'Normal uger'!$BY$51,"")</f>
        <v/>
      </c>
      <c r="DB43" s="654" t="str">
        <f>IF(AND(C43="Normal uge 6",B43="on"),'Normal uger'!$CA$51,"")</f>
        <v/>
      </c>
      <c r="DC43" s="654" t="str">
        <f>IF(AND(C43="Normal uge 6",B43="to"),'Normal uger'!$CC$51,"")</f>
        <v/>
      </c>
      <c r="DD43" s="654" t="str">
        <f>IF(AND(C43="Normal uge 6",B43="fr"),'Normal uger'!$CE$51,"")</f>
        <v/>
      </c>
      <c r="DE43" s="1">
        <f t="shared" si="23"/>
        <v>0</v>
      </c>
      <c r="DF43" t="str">
        <f t="shared" si="10"/>
        <v/>
      </c>
      <c r="DG43">
        <f t="shared" si="11"/>
        <v>0</v>
      </c>
      <c r="DH43">
        <f t="shared" si="12"/>
        <v>0</v>
      </c>
      <c r="DI43" t="str">
        <f t="shared" si="13"/>
        <v/>
      </c>
      <c r="DJ43" t="str">
        <f t="shared" si="13"/>
        <v/>
      </c>
      <c r="DK43" t="str">
        <f t="shared" si="13"/>
        <v/>
      </c>
      <c r="DL43" t="str">
        <f t="shared" si="24"/>
        <v/>
      </c>
    </row>
    <row r="44" spans="1:116" ht="17" thickBot="1">
      <c r="A44" s="368" t="s">
        <v>127</v>
      </c>
      <c r="B44" s="369"/>
      <c r="C44" s="369"/>
      <c r="D44" s="369"/>
      <c r="E44" s="369"/>
      <c r="F44" s="369"/>
      <c r="G44" s="369"/>
      <c r="H44" s="369"/>
      <c r="I44" s="194"/>
      <c r="J44" s="194"/>
      <c r="K44" s="194">
        <f>SUM(K15:K43)</f>
        <v>0</v>
      </c>
      <c r="L44" s="194">
        <f>SUM(L15:L43)</f>
        <v>0</v>
      </c>
      <c r="M44"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f>
        <v>0</v>
      </c>
      <c r="N44" s="627"/>
      <c r="O44" s="412">
        <f>SUM(O15:O43)</f>
        <v>0</v>
      </c>
      <c r="P44" s="249"/>
      <c r="Q44" s="250"/>
      <c r="R44" s="250"/>
      <c r="S44"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f>
        <v>0</v>
      </c>
      <c r="T44"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f>
        <v>0</v>
      </c>
      <c r="U44"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f>
        <v>0</v>
      </c>
      <c r="V44" s="115">
        <f>SUM(V15:V43)</f>
        <v>0</v>
      </c>
      <c r="W44" s="228">
        <f>W15+W16+W17+W18+W19+W20+W21+W22+W23+W24+W25+W26+W27+W28+W29+W30+W31+W32+W33+W34+W35+W36+W37+W38+W39+W40+W41+W42+W43</f>
        <v>0</v>
      </c>
      <c r="X44" s="129">
        <f t="shared" ref="X44:AC44" si="25">SUM(X15:X43)</f>
        <v>0</v>
      </c>
      <c r="Y44" s="129">
        <f t="shared" si="25"/>
        <v>0</v>
      </c>
      <c r="Z44" s="129">
        <f t="shared" si="25"/>
        <v>0</v>
      </c>
      <c r="AA44" s="129">
        <f t="shared" si="25"/>
        <v>0</v>
      </c>
      <c r="AB44" s="129">
        <f t="shared" si="25"/>
        <v>0</v>
      </c>
      <c r="AC44" s="129">
        <f t="shared" si="25"/>
        <v>0</v>
      </c>
      <c r="AD44">
        <f t="shared" ref="AD44:AI44" si="26">COUNTIF(AD13:AD43,"&gt;0")</f>
        <v>0</v>
      </c>
      <c r="AE44">
        <f t="shared" si="26"/>
        <v>0</v>
      </c>
      <c r="AF44">
        <f t="shared" si="26"/>
        <v>0</v>
      </c>
      <c r="AG44">
        <f t="shared" si="26"/>
        <v>0</v>
      </c>
      <c r="AH44">
        <f t="shared" si="26"/>
        <v>0</v>
      </c>
      <c r="AI44">
        <f t="shared" si="26"/>
        <v>0</v>
      </c>
      <c r="AJ44">
        <f>COUNTIF(AJ13:AJ43,"&gt;0")</f>
        <v>0</v>
      </c>
      <c r="AK44">
        <f t="shared" ref="AK44:BC44" si="27">COUNTIF(AK13:AK43,"&gt;0")</f>
        <v>0</v>
      </c>
      <c r="AL44">
        <f t="shared" si="27"/>
        <v>0</v>
      </c>
      <c r="AM44">
        <f t="shared" si="27"/>
        <v>0</v>
      </c>
      <c r="AN44">
        <f t="shared" si="27"/>
        <v>0</v>
      </c>
      <c r="AO44">
        <f t="shared" si="27"/>
        <v>0</v>
      </c>
      <c r="AP44">
        <f t="shared" si="27"/>
        <v>0</v>
      </c>
      <c r="AQ44">
        <f t="shared" si="27"/>
        <v>0</v>
      </c>
      <c r="AR44">
        <f t="shared" si="27"/>
        <v>0</v>
      </c>
      <c r="AS44">
        <f t="shared" si="27"/>
        <v>0</v>
      </c>
      <c r="AT44">
        <f t="shared" si="27"/>
        <v>0</v>
      </c>
      <c r="AU44">
        <f t="shared" si="27"/>
        <v>0</v>
      </c>
      <c r="AV44">
        <f t="shared" si="27"/>
        <v>0</v>
      </c>
      <c r="AW44">
        <f t="shared" si="27"/>
        <v>0</v>
      </c>
      <c r="AX44">
        <f t="shared" si="27"/>
        <v>0</v>
      </c>
      <c r="AY44">
        <f t="shared" si="27"/>
        <v>0</v>
      </c>
      <c r="AZ44">
        <f t="shared" si="27"/>
        <v>0</v>
      </c>
      <c r="BA44">
        <f t="shared" si="27"/>
        <v>0</v>
      </c>
      <c r="BB44">
        <f t="shared" si="27"/>
        <v>0</v>
      </c>
      <c r="BC44">
        <f t="shared" si="27"/>
        <v>0</v>
      </c>
      <c r="BD44">
        <f t="shared" ref="BD44:BM44" si="28">COUNTIF(BD15:BD43,"&gt;0")</f>
        <v>0</v>
      </c>
      <c r="BE44">
        <f t="shared" si="28"/>
        <v>0</v>
      </c>
      <c r="BF44">
        <f t="shared" si="28"/>
        <v>0</v>
      </c>
      <c r="BG44">
        <f t="shared" si="28"/>
        <v>0</v>
      </c>
      <c r="BH44">
        <f t="shared" si="28"/>
        <v>0</v>
      </c>
      <c r="BI44">
        <f t="shared" si="28"/>
        <v>0</v>
      </c>
      <c r="BJ44">
        <f t="shared" si="28"/>
        <v>0</v>
      </c>
      <c r="BK44">
        <f t="shared" si="28"/>
        <v>0</v>
      </c>
      <c r="BL44">
        <f t="shared" si="28"/>
        <v>0</v>
      </c>
      <c r="BM44">
        <f t="shared" si="28"/>
        <v>0</v>
      </c>
      <c r="BN44" s="1">
        <f>SUM(BN15:BN43)</f>
        <v>0</v>
      </c>
      <c r="BO44" s="62"/>
      <c r="BP44" s="129">
        <f>SUM(BP15:BP43)</f>
        <v>0</v>
      </c>
      <c r="BQ44" s="129">
        <f>SUM(BQ15:BQ43)</f>
        <v>0</v>
      </c>
      <c r="BR44" s="129">
        <f>SUM(BR15:BR43)</f>
        <v>0</v>
      </c>
      <c r="BS44" s="129">
        <f>SUM(BS15:BS43)</f>
        <v>0</v>
      </c>
      <c r="BT44" s="129">
        <f>SUM(BT15:BT43)</f>
        <v>0</v>
      </c>
      <c r="BU44" s="129"/>
      <c r="BV44" s="129"/>
      <c r="BW44" s="129"/>
      <c r="BX44" s="129"/>
      <c r="BY44" s="129"/>
      <c r="BZ44" s="129"/>
      <c r="CA44">
        <f>COUNTIF(CA13:CA43,"&gt;0")</f>
        <v>0</v>
      </c>
      <c r="CB44">
        <f t="shared" ref="CB44:CT44" si="29">COUNTIF(CB13:CB43,"&gt;0")</f>
        <v>0</v>
      </c>
      <c r="CC44">
        <f t="shared" si="29"/>
        <v>0</v>
      </c>
      <c r="CD44">
        <f t="shared" si="29"/>
        <v>0</v>
      </c>
      <c r="CE44">
        <f t="shared" si="29"/>
        <v>0</v>
      </c>
      <c r="CF44">
        <f t="shared" si="29"/>
        <v>0</v>
      </c>
      <c r="CG44">
        <f t="shared" si="29"/>
        <v>0</v>
      </c>
      <c r="CH44">
        <f t="shared" si="29"/>
        <v>0</v>
      </c>
      <c r="CI44">
        <f t="shared" si="29"/>
        <v>0</v>
      </c>
      <c r="CJ44">
        <f t="shared" si="29"/>
        <v>0</v>
      </c>
      <c r="CK44">
        <f t="shared" si="29"/>
        <v>0</v>
      </c>
      <c r="CL44">
        <f t="shared" si="29"/>
        <v>0</v>
      </c>
      <c r="CM44">
        <f t="shared" si="29"/>
        <v>0</v>
      </c>
      <c r="CN44">
        <f t="shared" si="29"/>
        <v>0</v>
      </c>
      <c r="CO44">
        <f t="shared" si="29"/>
        <v>0</v>
      </c>
      <c r="CP44">
        <f t="shared" si="29"/>
        <v>0</v>
      </c>
      <c r="CQ44">
        <f t="shared" si="29"/>
        <v>0</v>
      </c>
      <c r="CR44">
        <f t="shared" si="29"/>
        <v>0</v>
      </c>
      <c r="CS44">
        <f t="shared" si="29"/>
        <v>0</v>
      </c>
      <c r="CT44">
        <f t="shared" si="29"/>
        <v>0</v>
      </c>
      <c r="CU44">
        <f t="shared" ref="CU44:DD44" si="30">COUNTIF(CU15:CU43,"&gt;0")</f>
        <v>0</v>
      </c>
      <c r="CV44">
        <f t="shared" si="30"/>
        <v>0</v>
      </c>
      <c r="CW44">
        <f t="shared" si="30"/>
        <v>0</v>
      </c>
      <c r="CX44">
        <f t="shared" si="30"/>
        <v>0</v>
      </c>
      <c r="CY44">
        <f t="shared" si="30"/>
        <v>0</v>
      </c>
      <c r="CZ44">
        <f t="shared" si="30"/>
        <v>0</v>
      </c>
      <c r="DA44">
        <f t="shared" si="30"/>
        <v>0</v>
      </c>
      <c r="DB44">
        <f t="shared" si="30"/>
        <v>0</v>
      </c>
      <c r="DC44">
        <f t="shared" si="30"/>
        <v>0</v>
      </c>
      <c r="DD44">
        <f t="shared" si="30"/>
        <v>0</v>
      </c>
      <c r="DE44" s="1">
        <f t="shared" si="23"/>
        <v>0</v>
      </c>
      <c r="DJ44" t="str">
        <f t="shared" si="13"/>
        <v/>
      </c>
      <c r="DK44" t="str">
        <f t="shared" si="13"/>
        <v/>
      </c>
      <c r="DL44" t="str">
        <f t="shared" ref="DL44" si="31">DI44&amp;" "&amp;DJ44&amp;" "&amp;DK44</f>
        <v xml:space="preserve">  </v>
      </c>
    </row>
    <row r="45" spans="1:116" ht="26" thickBot="1">
      <c r="A45" s="128"/>
      <c r="B45" s="128"/>
      <c r="C45" s="128"/>
      <c r="D45" s="128"/>
      <c r="E45" s="128"/>
      <c r="F45" s="128"/>
      <c r="G45" s="128"/>
      <c r="H45" s="128"/>
      <c r="I45" s="128"/>
      <c r="J45" s="128"/>
      <c r="K45" s="130"/>
      <c r="L45" s="130"/>
      <c r="M45" s="130"/>
      <c r="N45" s="416"/>
      <c r="O45" s="416"/>
      <c r="P45" s="130"/>
      <c r="Q45" s="130"/>
      <c r="R45" s="130"/>
      <c r="S45" s="130"/>
      <c r="T45" s="130"/>
      <c r="U45" s="130"/>
      <c r="V45" s="130"/>
      <c r="W45" s="130"/>
      <c r="X45" s="130"/>
      <c r="Y45" s="130"/>
      <c r="Z45" s="257"/>
      <c r="AA45" s="137"/>
      <c r="AB45" s="115"/>
      <c r="AC45" s="129"/>
      <c r="AD45" s="115"/>
      <c r="AE45" s="115"/>
      <c r="AF45" s="129"/>
      <c r="AG45" s="129"/>
      <c r="AH45" s="129"/>
      <c r="AI45" s="129"/>
      <c r="AJ45" s="359" t="str">
        <f>IF(AND(C45="Normal uge 1",B45="ma"),'Normal uger'!$E$48,"")</f>
        <v/>
      </c>
      <c r="AK45" s="359" t="str">
        <f>IF(AND(C45="Normal uge 1",B45="ti"),'Normal uger'!$G$48,"")</f>
        <v/>
      </c>
      <c r="AL45" s="359" t="str">
        <f>IF(AND(C45="Normal uge 1",B45="on"),'Normal uger'!$I$48,"")</f>
        <v/>
      </c>
      <c r="AM45" s="359" t="str">
        <f>IF(AND(C45="Normal uge 1",B45="to"),'Normal uger'!$K$48,"")</f>
        <v/>
      </c>
      <c r="AN45" s="359" t="str">
        <f>IF(AND(C45="Normal uge 1",B45="fr"),'Normal uger'!$M$48,"")</f>
        <v/>
      </c>
      <c r="AO45" s="360" t="str">
        <f>IF(AND(C45="Normal uge 2",B45="ma"),'Normal uger'!$S$48,"")</f>
        <v/>
      </c>
      <c r="AP45" s="360" t="str">
        <f>IF(AND(C45="Normal uge 2",B45="ti"),'Normal uger'!$U$48,"")</f>
        <v/>
      </c>
      <c r="AQ45" s="360" t="str">
        <f>IF(AND(C45="Normal uge 2",B45="on"),'Normal uger'!$W$48,"")</f>
        <v/>
      </c>
      <c r="AR45" s="360" t="str">
        <f>IF(AND(C45="Normal uge 2",B45="to"),'Normal uger'!$Y$48,"")</f>
        <v/>
      </c>
      <c r="AS45" s="360" t="str">
        <f>IF(AND(C45="Normal uge 2",B45="fr"),'Normal uger'!$AA$48,"")</f>
        <v/>
      </c>
      <c r="AT45" s="361" t="str">
        <f>IF(AND(C45="Normal uge 3",B45="ma"),'Normal uger'!$AG$48,"")</f>
        <v/>
      </c>
      <c r="AU45" s="361" t="str">
        <f>IF(AND(C45="Normal uge 3",B45="ti"),'Normal uger'!$AI$48,"")</f>
        <v/>
      </c>
      <c r="AV45" s="361" t="str">
        <f>IF(AND(C45="Normal uge 3",B45="on"),'Normal uger'!$AK$48,"")</f>
        <v/>
      </c>
      <c r="AW45" s="361" t="str">
        <f>IF(AND(C45="Normal uge 3",B45="to"),'Normal uger'!$AM$48,"")</f>
        <v/>
      </c>
      <c r="AX45" s="361" t="str">
        <f>IF(AND(C45="Normal uge 3",B45="fr"),'Normal uger'!$AO$48,"")</f>
        <v/>
      </c>
      <c r="AY45" s="362" t="str">
        <f>IF(AND(C45="Normal uge 4",B45="ma"),'Normal uger'!$AU$48,"")</f>
        <v/>
      </c>
      <c r="AZ45" s="362" t="str">
        <f>IF(AND(C45="Normal uge 4",B45="ti"),'Normal uger'!$AW$48,"")</f>
        <v/>
      </c>
      <c r="BA45" s="362" t="str">
        <f>IF(AND(C45="Normal uge 4",B45="on"),'Normal uger'!$AY$48,"")</f>
        <v/>
      </c>
      <c r="BB45" s="362" t="str">
        <f>IF(AND(C45="Normal uge 4",B45="to"),'Normal uger'!$BA$48,"")</f>
        <v/>
      </c>
      <c r="BC45" s="362" t="str">
        <f>IF(AND(C45="Normal uge 4",B45="fr"),'Normal uger'!$BC$48,"")</f>
        <v/>
      </c>
      <c r="BR45" s="257"/>
      <c r="BS45" s="137"/>
      <c r="BT45" s="137"/>
      <c r="BU45" s="129"/>
      <c r="BV45" s="115"/>
      <c r="BW45" s="129"/>
      <c r="BX45" s="129"/>
      <c r="BY45" s="129"/>
      <c r="BZ45" s="129"/>
      <c r="CA45" s="129">
        <f>IF(OR(CA15&gt;0,AJ15&gt;0),1,0)+IF(OR(CA16&gt;0,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f>
        <v>0</v>
      </c>
      <c r="CB45" s="129">
        <f t="shared" ref="CB45:DD45" si="32">IF(OR(CB15&gt;0,AK15&gt;0),1,0)+IF(OR(CB16&gt;0,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f>
        <v>0</v>
      </c>
      <c r="CC45" s="129">
        <f t="shared" si="32"/>
        <v>0</v>
      </c>
      <c r="CD45" s="129">
        <f t="shared" si="32"/>
        <v>0</v>
      </c>
      <c r="CE45" s="129">
        <f t="shared" si="32"/>
        <v>0</v>
      </c>
      <c r="CF45" s="129">
        <f t="shared" si="32"/>
        <v>0</v>
      </c>
      <c r="CG45" s="129">
        <f t="shared" si="32"/>
        <v>0</v>
      </c>
      <c r="CH45" s="129">
        <f t="shared" si="32"/>
        <v>0</v>
      </c>
      <c r="CI45" s="129">
        <f t="shared" si="32"/>
        <v>0</v>
      </c>
      <c r="CJ45" s="129">
        <f t="shared" si="32"/>
        <v>0</v>
      </c>
      <c r="CK45" s="129">
        <f t="shared" si="32"/>
        <v>0</v>
      </c>
      <c r="CL45" s="129">
        <f t="shared" si="32"/>
        <v>0</v>
      </c>
      <c r="CM45" s="129">
        <f t="shared" si="32"/>
        <v>0</v>
      </c>
      <c r="CN45" s="129">
        <f t="shared" si="32"/>
        <v>0</v>
      </c>
      <c r="CO45" s="129">
        <f t="shared" si="32"/>
        <v>0</v>
      </c>
      <c r="CP45" s="129">
        <f t="shared" si="32"/>
        <v>0</v>
      </c>
      <c r="CQ45" s="129">
        <f t="shared" si="32"/>
        <v>0</v>
      </c>
      <c r="CR45" s="129">
        <f t="shared" si="32"/>
        <v>0</v>
      </c>
      <c r="CS45" s="129">
        <f t="shared" si="32"/>
        <v>0</v>
      </c>
      <c r="CT45" s="129">
        <f t="shared" si="32"/>
        <v>0</v>
      </c>
      <c r="CU45" s="129">
        <f t="shared" si="32"/>
        <v>0</v>
      </c>
      <c r="CV45" s="129">
        <f t="shared" si="32"/>
        <v>0</v>
      </c>
      <c r="CW45" s="129">
        <f t="shared" si="32"/>
        <v>0</v>
      </c>
      <c r="CX45" s="129">
        <f t="shared" si="32"/>
        <v>0</v>
      </c>
      <c r="CY45" s="129">
        <f t="shared" si="32"/>
        <v>0</v>
      </c>
      <c r="CZ45" s="129">
        <f t="shared" si="32"/>
        <v>0</v>
      </c>
      <c r="DA45" s="129">
        <f t="shared" si="32"/>
        <v>0</v>
      </c>
      <c r="DB45" s="129">
        <f t="shared" si="32"/>
        <v>0</v>
      </c>
      <c r="DC45" s="129">
        <f t="shared" si="32"/>
        <v>0</v>
      </c>
      <c r="DD45" s="129">
        <f t="shared" si="32"/>
        <v>0</v>
      </c>
      <c r="DE45" s="129">
        <f>SUM(DE15:DE44)</f>
        <v>0</v>
      </c>
    </row>
    <row r="46" spans="1:116" ht="70" customHeight="1">
      <c r="A46" s="873" t="str">
        <f>"Arbejdstid for "&amp;A13&amp;" måned:"</f>
        <v>Arbejdstid for Februar måned:</v>
      </c>
      <c r="B46" s="874"/>
      <c r="C46" s="874"/>
      <c r="D46" s="874"/>
      <c r="E46" s="874"/>
      <c r="F46" s="874"/>
      <c r="G46" s="874"/>
      <c r="H46" s="201" t="s">
        <v>126</v>
      </c>
      <c r="I46" s="923" t="s">
        <v>115</v>
      </c>
      <c r="J46" s="924"/>
      <c r="K46" s="150"/>
      <c r="L46" s="966" t="s">
        <v>187</v>
      </c>
      <c r="M46" s="967"/>
      <c r="N46" s="967"/>
      <c r="O46" s="967"/>
      <c r="P46" s="967"/>
      <c r="Q46" s="967"/>
      <c r="R46" s="967"/>
      <c r="S46" s="968"/>
      <c r="T46" s="598" t="s">
        <v>361</v>
      </c>
      <c r="U46" s="373" t="s">
        <v>257</v>
      </c>
      <c r="V46" s="303"/>
      <c r="W46" s="117"/>
      <c r="X46" s="130"/>
      <c r="Y46" s="130"/>
      <c r="Z46" s="130"/>
      <c r="AA46"/>
      <c r="AB46"/>
      <c r="AK46" s="56"/>
      <c r="AL46" s="56"/>
      <c r="BO46" s="117"/>
      <c r="BP46" s="117"/>
      <c r="BQ46" s="130"/>
      <c r="BR46" s="130"/>
      <c r="BS46"/>
      <c r="BT46"/>
      <c r="CB46" s="56"/>
      <c r="CC46" s="56"/>
      <c r="CU46" s="655" t="str">
        <f>IF(AND(C46="Normal uge 5",B46="ma"),'Normal uger'!$BI$48,"")</f>
        <v/>
      </c>
      <c r="CV46" s="655" t="str">
        <f>IF(AND(C46="Normal uge 5",B46="ti"),'Normal uger'!$BK$48,"")</f>
        <v/>
      </c>
      <c r="CW46" s="655" t="str">
        <f>IF(AND(C46="Normal uge 5",B46="on"),'Normal uger'!$BM$48,"")</f>
        <v/>
      </c>
      <c r="CX46" s="655" t="str">
        <f>IF(AND(C46="Normal uge 5",B46="to"),'Normal uger'!$BO$48,"")</f>
        <v/>
      </c>
      <c r="CY46" s="655" t="str">
        <f>IF(AND(C46="Normal uge 5",B46="fr"),'Normal uger'!$BQ$48,"")</f>
        <v/>
      </c>
      <c r="CZ46" s="654" t="str">
        <f>IF(AND(C46="Normal uge 6",B46="ma"),'Normal uger'!$BW$48,"")</f>
        <v/>
      </c>
      <c r="DA46" s="654" t="str">
        <f>IF(AND(C46="Normal uge 6",B46="ti"),'Normal uger'!$BY$48,"")</f>
        <v/>
      </c>
      <c r="DB46" s="654" t="str">
        <f>IF(AND(C46="Normal uge 6",B46="on"),'Normal uger'!$CA$48,"")</f>
        <v/>
      </c>
      <c r="DC46" s="654" t="str">
        <f>IF(AND(C46="Normal uge 6",B46="to"),'Normal uger'!$CC$48,"")</f>
        <v/>
      </c>
      <c r="DD46" s="654" t="str">
        <f>IF(AND(C46="Normal uge 6",B46="fr"),'Normal uger'!$CE$48,"")</f>
        <v/>
      </c>
    </row>
    <row r="47" spans="1:116" ht="24" customHeight="1">
      <c r="A47" s="875" t="s">
        <v>270</v>
      </c>
      <c r="B47" s="876"/>
      <c r="C47" s="876"/>
      <c r="D47" s="876"/>
      <c r="E47" s="876"/>
      <c r="F47" s="876"/>
      <c r="G47" s="876"/>
      <c r="H47" s="145">
        <f>D81-D79-A91-D78</f>
        <v>20</v>
      </c>
      <c r="I47" s="852">
        <f>J66</f>
        <v>0</v>
      </c>
      <c r="J47" s="853"/>
      <c r="K47" s="147"/>
      <c r="L47" s="390"/>
      <c r="M47" s="391"/>
      <c r="N47" s="391"/>
      <c r="O47" s="391"/>
      <c r="P47" s="391"/>
      <c r="Q47" s="391"/>
      <c r="R47" s="391"/>
      <c r="S47" s="391"/>
      <c r="T47" s="392">
        <f>Januar!T57</f>
        <v>0</v>
      </c>
      <c r="U47" s="393">
        <f>Januar!U57</f>
        <v>0</v>
      </c>
      <c r="V47" s="303"/>
      <c r="W47" s="130"/>
      <c r="X47" s="130"/>
      <c r="Y47" s="130"/>
      <c r="Z47" s="130"/>
      <c r="AA47"/>
      <c r="AB47"/>
      <c r="AK47" s="56"/>
      <c r="AL47" s="56"/>
      <c r="BO47" s="130"/>
      <c r="BP47" s="130"/>
      <c r="BQ47" s="130"/>
      <c r="BR47" s="130"/>
      <c r="BS47"/>
      <c r="BT47"/>
      <c r="CB47" s="56"/>
      <c r="CC47" s="56"/>
    </row>
    <row r="48" spans="1:116" ht="24" customHeight="1">
      <c r="A48" s="875" t="str">
        <f>"Ferie "&amp;A13&amp;" måned"</f>
        <v>Ferie Februar måned</v>
      </c>
      <c r="B48" s="876"/>
      <c r="C48" s="876"/>
      <c r="D48" s="876"/>
      <c r="E48" s="876"/>
      <c r="F48" s="876"/>
      <c r="G48" s="876"/>
      <c r="H48" s="146" t="str">
        <f>IF(D75&gt;0,$D$75,"0")</f>
        <v>0</v>
      </c>
      <c r="I48" s="961">
        <f>H48*7.4*Stamoplysninger!E21</f>
        <v>0</v>
      </c>
      <c r="J48" s="962"/>
      <c r="K48" s="147"/>
      <c r="L48" s="388" t="s">
        <v>190</v>
      </c>
      <c r="M48" s="389"/>
      <c r="N48" s="391"/>
      <c r="O48" s="391"/>
      <c r="P48" s="389"/>
      <c r="Q48" s="389"/>
      <c r="R48" s="389"/>
      <c r="S48" s="389"/>
      <c r="T48" s="592"/>
      <c r="U48" s="356"/>
      <c r="V48" s="303"/>
      <c r="W48" s="130"/>
      <c r="X48" s="130"/>
      <c r="Y48" s="130"/>
      <c r="Z48" s="130"/>
      <c r="AA48"/>
      <c r="AB48"/>
      <c r="AK48" s="56"/>
      <c r="AL48" s="56"/>
      <c r="BO48" s="130"/>
      <c r="BP48" s="130"/>
      <c r="BQ48" s="130"/>
      <c r="BR48" s="130"/>
      <c r="BS48"/>
      <c r="BT48"/>
      <c r="CB48" s="56"/>
      <c r="CC48" s="56"/>
    </row>
    <row r="49" spans="1:114" ht="24" customHeight="1">
      <c r="A49" s="875" t="str">
        <f>"Søgnehelligdage i "&amp;A13&amp;" måned"</f>
        <v>Søgnehelligdage i Februar måned</v>
      </c>
      <c r="B49" s="876"/>
      <c r="C49" s="876"/>
      <c r="D49" s="876"/>
      <c r="E49" s="876"/>
      <c r="F49" s="876"/>
      <c r="G49" s="876"/>
      <c r="H49" s="146">
        <f>IF(D80&gt;0,D80,0)</f>
        <v>0</v>
      </c>
      <c r="I49" s="961">
        <f>H49*7.4*Stamoplysninger!E21</f>
        <v>0</v>
      </c>
      <c r="J49" s="962"/>
      <c r="K49" s="225"/>
      <c r="L49" s="948" t="s">
        <v>363</v>
      </c>
      <c r="M49" s="949"/>
      <c r="N49" s="949"/>
      <c r="O49" s="949"/>
      <c r="P49" s="949"/>
      <c r="Q49" s="949"/>
      <c r="R49" s="949"/>
      <c r="S49" s="949"/>
      <c r="T49" s="949"/>
      <c r="U49" s="950"/>
      <c r="V49" s="303"/>
      <c r="W49" s="130"/>
      <c r="X49" s="130"/>
      <c r="Y49" s="130"/>
      <c r="Z49" s="130"/>
      <c r="AA49"/>
      <c r="AB49"/>
      <c r="AK49" s="56"/>
      <c r="AL49" s="56"/>
      <c r="BO49" s="130"/>
      <c r="BP49" s="130"/>
      <c r="BQ49" s="130"/>
      <c r="BR49" s="130"/>
      <c r="BS49"/>
      <c r="BT49"/>
      <c r="CB49" s="56"/>
      <c r="CC49" s="56"/>
    </row>
    <row r="50" spans="1:114" ht="24" customHeight="1">
      <c r="A50" s="875" t="str">
        <f>"Nettoarbejdstid ialt i "&amp;A13&amp;" måned"</f>
        <v>Nettoarbejdstid ialt i Februar måned</v>
      </c>
      <c r="B50" s="876"/>
      <c r="C50" s="876"/>
      <c r="D50" s="876"/>
      <c r="E50" s="876"/>
      <c r="F50" s="876"/>
      <c r="G50" s="876"/>
      <c r="H50" s="148">
        <f>H47-H48-H49</f>
        <v>20</v>
      </c>
      <c r="I50" s="961">
        <f>IF(Stamoplysninger!$E$18="Ikke omfattet af overenskomst - ansat med en fast årsnorm",Stamoplysninger!$E$20/228*H50*Stamoplysninger!$E$21,I47-I48-I49)</f>
        <v>0</v>
      </c>
      <c r="J50" s="962"/>
      <c r="K50" s="225"/>
      <c r="L50" s="375" t="s">
        <v>362</v>
      </c>
      <c r="M50" s="376" t="s">
        <v>201</v>
      </c>
      <c r="N50" s="954" t="s">
        <v>277</v>
      </c>
      <c r="O50" s="949"/>
      <c r="P50" s="949"/>
      <c r="Q50" s="949"/>
      <c r="R50" s="949"/>
      <c r="S50" s="955"/>
      <c r="T50" s="921" t="s">
        <v>188</v>
      </c>
      <c r="U50" s="922"/>
      <c r="V50" s="303"/>
      <c r="W50" s="130"/>
      <c r="X50" s="130"/>
      <c r="Y50" s="130"/>
      <c r="Z50" s="130"/>
      <c r="AA50"/>
      <c r="AB50"/>
      <c r="AK50" s="56"/>
      <c r="AL50" s="56"/>
      <c r="BO50" s="130"/>
      <c r="BP50" s="130"/>
      <c r="BQ50" s="130"/>
      <c r="BR50" s="130"/>
      <c r="BS50"/>
      <c r="BT50"/>
      <c r="CB50" s="56"/>
      <c r="CC50" s="56"/>
    </row>
    <row r="51" spans="1:114" ht="24" customHeight="1">
      <c r="A51" s="881" t="str">
        <f>"Planlagt arbejdstid efter ovennstående "&amp;A13&amp;" måned kalender"</f>
        <v>Planlagt arbejdstid efter ovennstående Februar måned kalender</v>
      </c>
      <c r="B51" s="882"/>
      <c r="C51" s="882"/>
      <c r="D51" s="882"/>
      <c r="E51" s="882"/>
      <c r="F51" s="882"/>
      <c r="G51" s="882"/>
      <c r="H51" s="281">
        <f>D58+D59+D60+D61+D64+D65+D72+D66+D67+D68+D69+D70+D71+D73+D74+D62+D63</f>
        <v>20</v>
      </c>
      <c r="I51" s="940">
        <f>K44+L44+M44-J60</f>
        <v>0</v>
      </c>
      <c r="J51" s="941"/>
      <c r="K51" s="225"/>
      <c r="L51" s="372"/>
      <c r="M51" s="304"/>
      <c r="N51" s="956"/>
      <c r="O51" s="957"/>
      <c r="P51" s="957"/>
      <c r="Q51" s="957"/>
      <c r="R51" s="957"/>
      <c r="S51" s="958"/>
      <c r="T51" s="304"/>
      <c r="U51" s="371"/>
      <c r="V51" s="303"/>
      <c r="W51" s="130"/>
      <c r="X51" s="130"/>
      <c r="Y51" s="130"/>
      <c r="Z51" s="130"/>
      <c r="AA51"/>
      <c r="AB51"/>
      <c r="AK51" s="56"/>
      <c r="AL51" s="56"/>
      <c r="BO51" s="130"/>
      <c r="BP51" s="130"/>
      <c r="BQ51" s="130"/>
      <c r="BR51" s="130"/>
      <c r="BS51"/>
      <c r="BT51"/>
      <c r="CB51" s="56"/>
      <c r="CC51" s="56"/>
    </row>
    <row r="52" spans="1:114" ht="24" customHeight="1">
      <c r="A52" s="883" t="str">
        <f>"Arbejde særligt planlagt for "&amp;A13&amp;" måned efter fanen normale uger"</f>
        <v>Arbejde særligt planlagt for Februar måned efter fanen normale uger</v>
      </c>
      <c r="B52" s="884"/>
      <c r="C52" s="884"/>
      <c r="D52" s="884"/>
      <c r="E52" s="884"/>
      <c r="F52" s="884"/>
      <c r="G52" s="884"/>
      <c r="H52" s="885"/>
      <c r="I52" s="942">
        <f>IF(I51=0,0,'Normal uger'!R98)</f>
        <v>0</v>
      </c>
      <c r="J52" s="943"/>
      <c r="K52" s="226"/>
      <c r="L52" s="372"/>
      <c r="M52" s="304"/>
      <c r="N52" s="956"/>
      <c r="O52" s="957"/>
      <c r="P52" s="957"/>
      <c r="Q52" s="957"/>
      <c r="R52" s="957"/>
      <c r="S52" s="958"/>
      <c r="T52" s="304"/>
      <c r="U52" s="371"/>
      <c r="V52" s="130"/>
      <c r="W52" s="130"/>
      <c r="X52" s="130"/>
      <c r="AA52"/>
      <c r="AB52"/>
      <c r="AI52" s="56"/>
      <c r="AJ52" s="56"/>
      <c r="BC52" s="130"/>
      <c r="BO52" s="130"/>
      <c r="BP52" s="130"/>
      <c r="BS52"/>
      <c r="BT52"/>
      <c r="BZ52" s="56"/>
      <c r="CA52" s="56"/>
    </row>
    <row r="53" spans="1:114" ht="24" customHeight="1">
      <c r="A53" s="413" t="s">
        <v>273</v>
      </c>
      <c r="B53" s="414"/>
      <c r="C53" s="414"/>
      <c r="D53" s="414"/>
      <c r="E53" s="414"/>
      <c r="F53" s="414"/>
      <c r="G53" s="414"/>
      <c r="H53" s="415"/>
      <c r="I53" s="959" t="e">
        <f>IF(Arbejdstidsoversigt!$H$54="Puljetimer registreres i månedskalendere",O44-L60,SUM(Arbejdstidsoversigt!J34:J52)/Arbejdstidsoversigt!$G$20*H50)</f>
        <v>#DIV/0!</v>
      </c>
      <c r="J53" s="960"/>
      <c r="K53" s="226"/>
      <c r="L53" s="372"/>
      <c r="M53" s="304"/>
      <c r="N53" s="956"/>
      <c r="O53" s="957"/>
      <c r="P53" s="957"/>
      <c r="Q53" s="957"/>
      <c r="R53" s="957"/>
      <c r="S53" s="958"/>
      <c r="T53" s="593"/>
      <c r="U53" s="594"/>
      <c r="V53" s="406"/>
      <c r="W53" s="406"/>
      <c r="X53" s="303"/>
      <c r="Y53" s="130"/>
      <c r="Z53" s="130"/>
      <c r="AA53" s="130"/>
      <c r="AB53" s="130"/>
      <c r="AM53" s="56"/>
      <c r="AN53" s="56"/>
      <c r="BQ53" s="130"/>
      <c r="BR53" s="130"/>
      <c r="BS53" s="130"/>
      <c r="BT53" s="130"/>
      <c r="CD53" s="56"/>
      <c r="CE53" s="56"/>
    </row>
    <row r="54" spans="1:114" ht="24" customHeight="1">
      <c r="A54" s="877" t="s">
        <v>248</v>
      </c>
      <c r="B54" s="878"/>
      <c r="C54" s="878"/>
      <c r="D54" s="878"/>
      <c r="E54" s="878"/>
      <c r="F54" s="878"/>
      <c r="G54" s="878"/>
      <c r="H54" s="878"/>
      <c r="I54" s="944">
        <f>S44+U44+T44-P60-Q60-R60</f>
        <v>0</v>
      </c>
      <c r="J54" s="945"/>
      <c r="K54" s="227"/>
      <c r="L54" s="372"/>
      <c r="M54" s="304"/>
      <c r="N54" s="956"/>
      <c r="O54" s="957"/>
      <c r="P54" s="957"/>
      <c r="Q54" s="957"/>
      <c r="R54" s="957"/>
      <c r="S54" s="958"/>
      <c r="T54" s="304"/>
      <c r="U54" s="371"/>
      <c r="V54" s="130"/>
      <c r="X54" s="130"/>
      <c r="Y54" s="130"/>
      <c r="AA54"/>
      <c r="AB54"/>
      <c r="AK54" s="56"/>
      <c r="AL54" s="56"/>
      <c r="BC54" s="137"/>
      <c r="BP54" s="130"/>
      <c r="BS54"/>
      <c r="BT54"/>
      <c r="CB54" s="56"/>
      <c r="CC54" s="56"/>
    </row>
    <row r="55" spans="1:114" ht="27" customHeight="1" thickBot="1">
      <c r="A55" s="149" t="str">
        <f>"Faktisk arbejdstid ialt i "&amp;A13&amp;" måned"</f>
        <v>Faktisk arbejdstid ialt i Februar måned</v>
      </c>
      <c r="B55" s="188"/>
      <c r="C55" s="189"/>
      <c r="D55" s="189"/>
      <c r="E55" s="189"/>
      <c r="F55" s="189"/>
      <c r="G55" s="189"/>
      <c r="H55" s="190"/>
      <c r="I55" s="946" t="e">
        <f>SUM(I51:J54)</f>
        <v>#DIV/0!</v>
      </c>
      <c r="J55" s="947"/>
      <c r="K55" s="131"/>
      <c r="L55" s="377" t="s">
        <v>189</v>
      </c>
      <c r="M55" s="378"/>
      <c r="N55" s="378"/>
      <c r="O55" s="378"/>
      <c r="P55" s="378"/>
      <c r="Q55" s="378"/>
      <c r="R55" s="378"/>
      <c r="S55" s="379"/>
      <c r="T55" s="387">
        <f>T47+T48-SUM(T51:T54)</f>
        <v>0</v>
      </c>
      <c r="U55" s="394">
        <f>U47+U48-SUM(U51:U54)</f>
        <v>0</v>
      </c>
      <c r="V55" s="303"/>
      <c r="W55" s="137"/>
      <c r="X55" s="130"/>
      <c r="Z55" s="130"/>
      <c r="AA55" s="130"/>
      <c r="AB55"/>
      <c r="AL55" s="56"/>
      <c r="AM55" s="56"/>
      <c r="BO55" s="137"/>
      <c r="BP55" s="137"/>
      <c r="BR55" s="130"/>
      <c r="BS55"/>
      <c r="BT55"/>
      <c r="CC55" s="56"/>
      <c r="CD55" s="56"/>
    </row>
    <row r="56" spans="1:114" ht="11" hidden="1" customHeight="1">
      <c r="A56" s="144"/>
      <c r="B56" s="144"/>
      <c r="C56" s="144"/>
      <c r="D56" s="144"/>
      <c r="E56" s="144"/>
      <c r="F56" s="144"/>
      <c r="G56" s="144"/>
      <c r="H56" s="144"/>
      <c r="I56" s="302"/>
      <c r="J56" s="302"/>
      <c r="K56" s="302"/>
      <c r="L56" s="290"/>
      <c r="M56" s="252"/>
      <c r="N56" s="279"/>
      <c r="O56" s="279"/>
      <c r="P56" s="252"/>
      <c r="Q56" s="252"/>
      <c r="R56" s="205"/>
      <c r="S56" s="253"/>
      <c r="T56" s="126"/>
      <c r="U56" s="126"/>
      <c r="V56" s="126"/>
      <c r="W56" s="126"/>
      <c r="X56" s="126"/>
      <c r="Y56" s="63"/>
      <c r="Z56" s="63"/>
      <c r="AA56" s="130"/>
      <c r="AB56" s="130"/>
      <c r="AC56" s="130"/>
      <c r="AD56" s="130"/>
      <c r="AE56" s="118"/>
      <c r="AF56" s="137"/>
      <c r="AG56" s="137"/>
      <c r="AH56" s="137"/>
      <c r="AI56" s="137"/>
      <c r="AJ56" s="137"/>
      <c r="AK56" s="137"/>
      <c r="AL56" s="137"/>
      <c r="AM56" s="137"/>
      <c r="AN56" s="137"/>
      <c r="AO56" s="137"/>
      <c r="AP56" s="130"/>
      <c r="AR56" s="130"/>
      <c r="AS56" s="130"/>
      <c r="AW56" s="56"/>
      <c r="AX56" s="56"/>
      <c r="BG56" s="56"/>
      <c r="BH56" s="56"/>
      <c r="BS56" s="130"/>
      <c r="BT56" s="130"/>
      <c r="BU56" s="130"/>
      <c r="BV56" s="130"/>
      <c r="BW56" s="137"/>
      <c r="BX56" s="137"/>
      <c r="BY56" s="137"/>
      <c r="BZ56" s="137"/>
      <c r="CA56" s="137"/>
      <c r="CB56" s="137"/>
      <c r="CC56" s="137"/>
      <c r="CD56" s="137"/>
      <c r="CE56" s="137"/>
      <c r="CF56" s="137"/>
      <c r="CG56" s="130"/>
      <c r="CI56" s="130"/>
      <c r="CJ56" s="130"/>
      <c r="CN56" s="56"/>
      <c r="CO56" s="56"/>
      <c r="DH56" s="138"/>
      <c r="DI56" s="138"/>
    </row>
    <row r="57" spans="1:114" hidden="1">
      <c r="A57" s="286"/>
      <c r="B57" s="286"/>
      <c r="C57" s="286"/>
      <c r="D57" s="286"/>
      <c r="E57" s="286"/>
      <c r="F57" s="286"/>
      <c r="G57" s="286"/>
      <c r="H57" s="287"/>
      <c r="I57" s="288"/>
      <c r="K57" s="286"/>
      <c r="L57" s="289"/>
      <c r="M57" s="279"/>
      <c r="N57" s="252"/>
      <c r="O57" s="252"/>
      <c r="P57" s="279"/>
      <c r="AA57" s="130"/>
      <c r="AB57" s="130"/>
      <c r="AC57" s="130"/>
      <c r="AD57" s="130"/>
      <c r="AE57" s="118"/>
      <c r="AF57" s="137"/>
      <c r="AG57" s="137"/>
      <c r="AH57" s="137"/>
      <c r="AI57" s="137"/>
      <c r="AJ57" s="137"/>
      <c r="AK57" s="137"/>
      <c r="AL57" s="137"/>
      <c r="AM57" s="137"/>
      <c r="AN57" s="137"/>
      <c r="AO57" s="137"/>
      <c r="AP57" s="130"/>
      <c r="AR57" s="130"/>
      <c r="AS57" s="130"/>
      <c r="AW57" s="56"/>
      <c r="AX57" s="56"/>
      <c r="BG57" s="56"/>
      <c r="BH57" s="56"/>
      <c r="BR57" s="303"/>
      <c r="BS57" s="130"/>
      <c r="BT57" s="130"/>
      <c r="BU57" s="130"/>
      <c r="BV57" s="130"/>
      <c r="BW57" s="137"/>
      <c r="BX57" s="137"/>
      <c r="BY57" s="137"/>
      <c r="BZ57" s="137"/>
      <c r="CA57" s="137"/>
      <c r="CB57" s="137"/>
      <c r="CC57" s="137"/>
      <c r="CD57" s="137"/>
      <c r="CE57" s="137"/>
      <c r="CF57" s="137"/>
      <c r="CG57" s="130"/>
      <c r="CI57" s="130"/>
      <c r="CJ57" s="130"/>
      <c r="CN57" s="56"/>
      <c r="CO57" s="56"/>
      <c r="DH57" s="138"/>
      <c r="DI57" s="138"/>
    </row>
    <row r="58" spans="1:114" hidden="1">
      <c r="A58" s="295" t="s">
        <v>217</v>
      </c>
      <c r="B58" s="295"/>
      <c r="C58" s="295"/>
      <c r="D58" s="295">
        <f>COUNTIF([0]!Februar1,"Normal uge 1")</f>
        <v>20</v>
      </c>
      <c r="E58" s="296"/>
      <c r="F58" s="295"/>
      <c r="G58" s="295"/>
      <c r="H58" s="288"/>
      <c r="I58" s="291"/>
      <c r="J58" s="289"/>
      <c r="K58" s="289"/>
      <c r="L58" s="291"/>
      <c r="M58" s="280"/>
      <c r="N58" s="279"/>
      <c r="O58" s="279"/>
      <c r="P58" s="280"/>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X58" s="56"/>
      <c r="CY58" s="56"/>
      <c r="DG58" s="1"/>
      <c r="DI58" s="138"/>
      <c r="DJ58" s="138"/>
    </row>
    <row r="59" spans="1:114" hidden="1">
      <c r="A59" s="969" t="s">
        <v>204</v>
      </c>
      <c r="B59" s="969"/>
      <c r="C59" s="969"/>
      <c r="D59" s="295">
        <f>COUNTIF([0]!Februar1,"Normal uge 2")</f>
        <v>0</v>
      </c>
      <c r="E59" s="296"/>
      <c r="F59" s="295"/>
      <c r="G59" s="295"/>
      <c r="H59" s="288"/>
      <c r="I59" s="291"/>
      <c r="J59" s="289"/>
      <c r="K59" s="291"/>
      <c r="L59" s="292"/>
      <c r="M59" s="280"/>
      <c r="N59" s="280"/>
      <c r="O59" s="280"/>
      <c r="P59" s="280"/>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X59" s="56"/>
      <c r="CY59" s="56"/>
      <c r="DG59" s="1"/>
      <c r="DI59" s="138"/>
      <c r="DJ59" s="138"/>
    </row>
    <row r="60" spans="1:114" hidden="1">
      <c r="A60" s="969" t="s">
        <v>205</v>
      </c>
      <c r="B60" s="969"/>
      <c r="C60" s="969"/>
      <c r="D60" s="295">
        <f>COUNTIF([0]!Februar1,"Normal uge 3")</f>
        <v>0</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80"/>
      <c r="O60" s="280"/>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 si="33">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206</v>
      </c>
      <c r="B61" s="969"/>
      <c r="C61" s="969"/>
      <c r="D61" s="295">
        <f>COUNTIF([0]!Februar1,"Normal uge 4")</f>
        <v>0</v>
      </c>
      <c r="E61" s="296"/>
      <c r="F61" s="295"/>
      <c r="G61" s="295"/>
      <c r="H61" s="288"/>
      <c r="I61" s="288" t="s">
        <v>271</v>
      </c>
      <c r="J61" s="289"/>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650" t="s">
        <v>406</v>
      </c>
      <c r="B62" s="650"/>
      <c r="C62" s="650"/>
      <c r="D62" s="295">
        <f>COUNTIF([0]!Februar1,"Normal uge 5")</f>
        <v>0</v>
      </c>
      <c r="E62" s="296"/>
      <c r="F62" s="295"/>
      <c r="G62" s="295" t="s">
        <v>489</v>
      </c>
      <c r="H62" s="852">
        <f>IF(AND(Stamoplysninger!$E$18="BUPL/FOA",Stamoplysninger!$E$19="Ja"),1924/Arbejdstidsoversigt!$K$13*Stamoplysninger!$E$21*$H$47,H47*7.4*Stamoplysninger!$E$21)</f>
        <v>0</v>
      </c>
      <c r="I62" s="853"/>
      <c r="J62" s="289">
        <f>IF(Stamoplysninger!$E$18="BUPL/FOA",H62,0)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652" t="s">
        <v>407</v>
      </c>
      <c r="B63" s="652"/>
      <c r="C63" s="652"/>
      <c r="D63" s="295">
        <f>COUNTIF([0]!Februar1,"Normal uge 6")</f>
        <v>0</v>
      </c>
      <c r="E63" s="296"/>
      <c r="F63" s="295"/>
      <c r="G63" s="295" t="s">
        <v>212</v>
      </c>
      <c r="H63" s="852">
        <f>IF(AND(Stamoplysninger!$E$18="HK",Stamoplysninger!$E$19="Ja"),1924/Arbejdstidsoversigt!$K$13*Stamoplysninger!$E$21*$H$47,$H$47*7.4*Stamoplysninger!$E$21)</f>
        <v>0</v>
      </c>
      <c r="I63" s="853"/>
      <c r="J63" s="289">
        <f>IF(Stamoplysninger!$E$18="HK",H63,0)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295" t="s">
        <v>228</v>
      </c>
      <c r="B64" s="295"/>
      <c r="C64" s="295"/>
      <c r="D64" s="295">
        <f>COUNTIF([0]!Februar1,"Anderledes dag")</f>
        <v>0</v>
      </c>
      <c r="E64" s="296"/>
      <c r="F64" s="295"/>
      <c r="G64" s="295" t="s">
        <v>213</v>
      </c>
      <c r="H64" s="288">
        <f>IF(Stamoplysninger!$E$18="3F",7.4*Stamoplysninger!$E$21*$H$47,0)</f>
        <v>0</v>
      </c>
      <c r="I64" s="288"/>
      <c r="J64" s="289">
        <f>IF(Stamoplysninger!$E$18="3f",H64,0)</f>
        <v>0</v>
      </c>
      <c r="K64" s="291"/>
      <c r="L64" s="292"/>
      <c r="M64" s="280"/>
      <c r="N64" s="280"/>
      <c r="O64" s="280"/>
      <c r="P64" s="280"/>
      <c r="AA64"/>
      <c r="AB64"/>
      <c r="AW64" s="1"/>
      <c r="BG64" s="1"/>
      <c r="BR64" s="63"/>
      <c r="BS64"/>
      <c r="BT64"/>
      <c r="CN64" s="1"/>
      <c r="CU64" s="130"/>
      <c r="CY64" s="56"/>
      <c r="CZ64" s="56"/>
      <c r="DG64" s="138"/>
    </row>
    <row r="65" spans="1:111" hidden="1">
      <c r="A65" s="297" t="s">
        <v>370</v>
      </c>
      <c r="B65" s="295"/>
      <c r="C65" s="295"/>
      <c r="D65" s="295">
        <f>COUNTIF([0]!Februar1,"Ferieåbning")</f>
        <v>0</v>
      </c>
      <c r="E65" s="296"/>
      <c r="F65" s="295"/>
      <c r="G65" s="295" t="s">
        <v>498</v>
      </c>
      <c r="H65" s="288">
        <f>IF(Stamoplysninger!$E$18="Ikke omfattet af overenskomst - ansat med en variabel årsnorm",7.4*Stamoplysninger!$E$21*$H$47,0)</f>
        <v>0</v>
      </c>
      <c r="I65" s="288"/>
      <c r="J65" s="289">
        <f>IF(Stamoplysninger!$E$18="Ikke omfattet af overenskomst - ansat med en variabel årsnorm",H65,0)</f>
        <v>0</v>
      </c>
      <c r="K65" s="292"/>
      <c r="L65" s="292"/>
      <c r="M65" s="280"/>
      <c r="N65" s="280"/>
      <c r="O65" s="280"/>
      <c r="P65" s="280"/>
      <c r="AA65"/>
      <c r="AB65"/>
      <c r="AW65" s="1"/>
      <c r="BG65" s="1"/>
      <c r="BR65" s="63"/>
      <c r="BS65"/>
      <c r="BT65"/>
      <c r="CN65" s="1"/>
      <c r="CU65" s="130"/>
      <c r="CY65" s="56"/>
      <c r="CZ65" s="56"/>
      <c r="DG65" s="138"/>
    </row>
    <row r="66" spans="1:111" hidden="1">
      <c r="A66" s="297" t="s">
        <v>218</v>
      </c>
      <c r="B66" s="295"/>
      <c r="C66" s="295"/>
      <c r="D66" s="295">
        <f>COUNTIF([0]!Februar1,"Rul 1")</f>
        <v>0</v>
      </c>
      <c r="E66" s="296"/>
      <c r="F66" s="295"/>
      <c r="G66" s="295"/>
      <c r="H66" s="288"/>
      <c r="I66" s="288"/>
      <c r="J66" s="289">
        <f>SUM(J61:J65)</f>
        <v>0</v>
      </c>
      <c r="K66" s="292"/>
      <c r="L66" s="292"/>
      <c r="M66" s="252"/>
      <c r="N66" s="280"/>
      <c r="O66" s="280"/>
      <c r="P66" s="252"/>
      <c r="AA66"/>
      <c r="AB66"/>
      <c r="AW66" s="1"/>
      <c r="BG66" s="1"/>
      <c r="BR66" s="63"/>
      <c r="BS66"/>
      <c r="BT66"/>
      <c r="CN66" s="1"/>
      <c r="CX66" s="1"/>
      <c r="DG66" s="138"/>
    </row>
    <row r="67" spans="1:111" hidden="1">
      <c r="A67" s="297" t="s">
        <v>219</v>
      </c>
      <c r="B67" s="295"/>
      <c r="C67" s="295"/>
      <c r="D67" s="295">
        <f>COUNTIF([0]!Februar1,"Rul 2")</f>
        <v>0</v>
      </c>
      <c r="E67" s="296"/>
      <c r="F67" s="295"/>
      <c r="G67" s="295"/>
      <c r="H67" s="288"/>
      <c r="I67" s="292"/>
      <c r="J67" s="292"/>
      <c r="K67" s="292"/>
      <c r="L67" s="292"/>
      <c r="N67" s="252"/>
      <c r="O67" s="252"/>
      <c r="AA67"/>
      <c r="AB67"/>
      <c r="AW67" s="1"/>
      <c r="BG67" s="1"/>
      <c r="BR67" s="63"/>
      <c r="BS67"/>
      <c r="BT67"/>
      <c r="CN67" s="1"/>
      <c r="CX67" s="1"/>
      <c r="DG67" s="138"/>
    </row>
    <row r="68" spans="1:111" hidden="1">
      <c r="A68" s="297" t="s">
        <v>220</v>
      </c>
      <c r="B68" s="295"/>
      <c r="C68" s="295"/>
      <c r="D68" s="295">
        <f>COUNTIF([0]!Februar1,"Rul 3")</f>
        <v>0</v>
      </c>
      <c r="E68" s="296"/>
      <c r="F68" s="295"/>
      <c r="G68" s="295"/>
      <c r="H68" s="288"/>
      <c r="I68" s="292"/>
      <c r="J68" s="292"/>
      <c r="K68" s="292"/>
      <c r="L68" s="292"/>
      <c r="P68" s="288"/>
      <c r="AA68"/>
      <c r="AB68"/>
      <c r="AW68" s="1"/>
      <c r="BG68" s="1"/>
      <c r="BR68" s="63"/>
      <c r="BS68"/>
      <c r="BT68"/>
      <c r="CN68" s="1"/>
      <c r="CX68" s="1"/>
      <c r="DG68" s="138"/>
    </row>
    <row r="69" spans="1:111" hidden="1">
      <c r="A69" s="297" t="s">
        <v>221</v>
      </c>
      <c r="B69" s="295"/>
      <c r="C69" s="295"/>
      <c r="D69" s="295">
        <f>COUNTIF([0]!Februar1,"Rul 4")</f>
        <v>0</v>
      </c>
      <c r="E69" s="296"/>
      <c r="F69" s="295"/>
      <c r="G69" s="295"/>
      <c r="H69" s="288"/>
      <c r="I69" s="292"/>
      <c r="J69" s="292"/>
      <c r="K69" s="292"/>
      <c r="L69" s="292"/>
      <c r="AA69"/>
      <c r="AB69"/>
      <c r="AW69" s="1"/>
      <c r="BG69" s="1"/>
      <c r="BS69"/>
      <c r="BT69"/>
      <c r="CN69" s="1"/>
      <c r="CX69" s="1"/>
      <c r="DG69" s="138"/>
    </row>
    <row r="70" spans="1:111" hidden="1">
      <c r="A70" s="297" t="s">
        <v>222</v>
      </c>
      <c r="B70" s="295"/>
      <c r="C70" s="295"/>
      <c r="D70" s="295">
        <f>COUNTIF([0]!Februar1,"Rul 5")</f>
        <v>0</v>
      </c>
      <c r="E70" s="296"/>
      <c r="F70" s="295"/>
      <c r="G70" s="295"/>
      <c r="H70" s="288"/>
      <c r="I70" s="292"/>
      <c r="J70" s="292"/>
      <c r="K70" s="292"/>
      <c r="L70" s="292"/>
      <c r="AA70"/>
      <c r="AB70"/>
      <c r="AW70" s="1"/>
      <c r="BG70" s="1"/>
      <c r="BS70"/>
      <c r="BT70"/>
      <c r="CN70" s="1"/>
      <c r="CX70" s="1"/>
      <c r="DG70" s="138"/>
    </row>
    <row r="71" spans="1:111" hidden="1">
      <c r="A71" s="297" t="s">
        <v>223</v>
      </c>
      <c r="B71" s="295"/>
      <c r="C71" s="295"/>
      <c r="D71" s="295">
        <f>COUNTIF([0]!Februar1,"Rul 6")</f>
        <v>0</v>
      </c>
      <c r="E71" s="296"/>
      <c r="F71" s="298"/>
      <c r="G71" s="298"/>
      <c r="H71" s="294"/>
      <c r="I71" s="292"/>
      <c r="J71" s="292"/>
      <c r="K71" s="292"/>
      <c r="L71" s="292"/>
      <c r="AA71"/>
      <c r="AB71"/>
      <c r="AW71" s="1"/>
      <c r="BG71" s="1"/>
      <c r="BS71"/>
      <c r="BT71"/>
      <c r="CN71" s="1"/>
      <c r="CX71" s="1"/>
      <c r="DG71" s="138"/>
    </row>
    <row r="72" spans="1:111" hidden="1">
      <c r="A72" s="295" t="s">
        <v>83</v>
      </c>
      <c r="B72" s="295"/>
      <c r="C72" s="295"/>
      <c r="D72" s="295">
        <f>COUNTIF([0]!Februar1,"Pæd.dag")</f>
        <v>0</v>
      </c>
      <c r="E72" s="296"/>
      <c r="F72" s="295"/>
      <c r="G72" s="295"/>
      <c r="H72" s="288"/>
      <c r="I72" s="292"/>
      <c r="J72" s="292"/>
      <c r="K72" s="292"/>
      <c r="L72" s="291"/>
      <c r="AA72"/>
      <c r="AB72"/>
      <c r="AW72" s="1"/>
      <c r="BG72" s="1"/>
      <c r="BS72"/>
      <c r="BT72"/>
      <c r="CN72" s="1"/>
      <c r="CX72" s="1"/>
      <c r="DG72" s="138"/>
    </row>
    <row r="73" spans="1:111" hidden="1">
      <c r="A73" s="295" t="s">
        <v>227</v>
      </c>
      <c r="B73" s="295"/>
      <c r="C73" s="295"/>
      <c r="D73" s="295">
        <f>COUNTIF([0]!Februar1,"Koloni")</f>
        <v>0</v>
      </c>
      <c r="E73" s="296"/>
      <c r="F73" s="295"/>
      <c r="G73" s="295"/>
      <c r="H73" s="288"/>
      <c r="I73" s="292"/>
      <c r="J73" s="292"/>
      <c r="K73" s="292"/>
      <c r="L73" s="291"/>
      <c r="AA73"/>
      <c r="AB73"/>
      <c r="AW73" s="1"/>
      <c r="BG73" s="1"/>
      <c r="BS73"/>
      <c r="BT73"/>
      <c r="CN73" s="1"/>
      <c r="CX73" s="1"/>
      <c r="DG73" s="138"/>
    </row>
    <row r="74" spans="1:111" hidden="1">
      <c r="A74" s="295" t="s">
        <v>82</v>
      </c>
      <c r="B74" s="295"/>
      <c r="C74" s="295"/>
      <c r="D74" s="295">
        <f>COUNTIF([0]!Februar1,"Ekskursion")</f>
        <v>0</v>
      </c>
      <c r="E74" s="296"/>
      <c r="F74" s="295"/>
      <c r="G74" s="295"/>
      <c r="H74" s="288"/>
      <c r="I74" s="292"/>
      <c r="J74" s="292"/>
      <c r="K74" s="292"/>
      <c r="L74" s="291"/>
      <c r="AA74"/>
      <c r="AB74"/>
      <c r="AW74" s="1"/>
      <c r="BG74" s="1"/>
      <c r="BS74"/>
      <c r="BT74"/>
      <c r="CN74" s="1"/>
      <c r="CX74" s="1"/>
      <c r="DG74" s="138"/>
    </row>
    <row r="75" spans="1:111" hidden="1">
      <c r="A75" s="295" t="s">
        <v>109</v>
      </c>
      <c r="B75" s="295"/>
      <c r="C75" s="295"/>
      <c r="D75" s="295">
        <f>COUNTIF([0]!Februar1,"Feriedag")</f>
        <v>0</v>
      </c>
      <c r="E75" s="295"/>
      <c r="F75" s="295"/>
      <c r="G75" s="295"/>
      <c r="H75" s="288"/>
      <c r="I75" s="292"/>
      <c r="J75" s="292"/>
      <c r="K75" s="292"/>
      <c r="L75" s="291"/>
      <c r="AA75"/>
      <c r="AB75"/>
      <c r="AW75" s="1"/>
      <c r="BG75" s="1"/>
      <c r="BS75"/>
      <c r="BT75"/>
      <c r="CN75" s="1"/>
      <c r="CX75" s="1"/>
      <c r="DG75" s="138"/>
    </row>
    <row r="76" spans="1:111" hidden="1">
      <c r="A76" s="295" t="s">
        <v>78</v>
      </c>
      <c r="B76" s="295"/>
      <c r="C76" s="295"/>
      <c r="D76" s="295">
        <f>COUNTIF([0]!Februar1,"Nul-dag")</f>
        <v>0</v>
      </c>
      <c r="E76" s="299"/>
      <c r="F76" s="295"/>
      <c r="G76" s="295"/>
      <c r="H76" s="288"/>
      <c r="I76" s="292"/>
      <c r="J76" s="292"/>
      <c r="K76" s="292"/>
      <c r="L76" s="291"/>
      <c r="AA76"/>
      <c r="AB76"/>
      <c r="AW76" s="1"/>
      <c r="BG76" s="1"/>
      <c r="BS76"/>
      <c r="BT76"/>
      <c r="CN76" s="1"/>
      <c r="CX76" s="1"/>
      <c r="DG76" s="138"/>
    </row>
    <row r="77" spans="1:111" hidden="1">
      <c r="A77" s="295" t="s">
        <v>176</v>
      </c>
      <c r="B77" s="295"/>
      <c r="C77" s="295"/>
      <c r="D77" s="295">
        <f>COUNTIF([0]!Februar1,"Orlov")</f>
        <v>0</v>
      </c>
      <c r="E77" s="295"/>
      <c r="F77" s="295"/>
      <c r="G77" s="295"/>
      <c r="H77" s="288"/>
      <c r="I77" s="288"/>
      <c r="J77" s="292"/>
      <c r="K77" s="292"/>
      <c r="L77" s="291"/>
      <c r="AA77"/>
      <c r="AB77"/>
      <c r="AW77" s="1"/>
      <c r="BG77" s="1"/>
      <c r="BS77"/>
      <c r="BT77"/>
      <c r="CN77" s="1"/>
      <c r="CX77" s="1"/>
      <c r="DG77" s="138"/>
    </row>
    <row r="78" spans="1:111" hidden="1">
      <c r="A78" s="295" t="s">
        <v>98</v>
      </c>
      <c r="B78" s="295"/>
      <c r="C78" s="295"/>
      <c r="D78" s="295">
        <f>COUNTIF([0]!Februar1,"Ikke relevant")</f>
        <v>0</v>
      </c>
      <c r="E78" s="295"/>
      <c r="F78" s="295"/>
      <c r="G78" s="295"/>
      <c r="H78" s="288"/>
      <c r="I78" s="288"/>
      <c r="J78" s="291"/>
      <c r="K78" s="291"/>
      <c r="L78" s="291"/>
      <c r="AA78"/>
      <c r="AB78"/>
      <c r="AW78" s="1"/>
      <c r="BG78" s="1"/>
      <c r="BS78"/>
      <c r="BT78"/>
      <c r="CN78" s="1"/>
      <c r="CX78" s="1"/>
      <c r="DG78" s="138"/>
    </row>
    <row r="79" spans="1:111" hidden="1">
      <c r="A79" s="295" t="s">
        <v>77</v>
      </c>
      <c r="B79" s="295"/>
      <c r="C79" s="295"/>
      <c r="D79" s="295">
        <f>COUNTIF([0]!Februar1,"Weekend")</f>
        <v>8</v>
      </c>
      <c r="E79" s="295"/>
      <c r="F79" s="295"/>
      <c r="G79" s="295"/>
      <c r="H79" s="288"/>
      <c r="I79" s="288"/>
      <c r="J79" s="291"/>
      <c r="K79" s="291"/>
      <c r="L79" s="291"/>
      <c r="AA79"/>
      <c r="AB79"/>
      <c r="AW79" s="1"/>
      <c r="BG79" s="1"/>
      <c r="BS79"/>
      <c r="BT79"/>
      <c r="CN79" s="1"/>
      <c r="CX79" s="1"/>
      <c r="DG79" s="138"/>
    </row>
    <row r="80" spans="1:111" hidden="1">
      <c r="A80" s="293" t="s">
        <v>76</v>
      </c>
      <c r="B80" s="295"/>
      <c r="C80" s="295"/>
      <c r="D80" s="295">
        <f>COUNTIF([0]!Februar1,"SH-dag")</f>
        <v>0</v>
      </c>
      <c r="E80" s="295"/>
      <c r="F80" s="295"/>
      <c r="G80" s="295"/>
      <c r="H80" s="288"/>
      <c r="I80" s="288"/>
      <c r="J80" s="291"/>
      <c r="K80" s="291"/>
      <c r="L80" s="291"/>
      <c r="AA80"/>
      <c r="AB80"/>
      <c r="AW80" s="1">
        <f>SUM(P80:AV80)</f>
        <v>0</v>
      </c>
      <c r="BG80" s="1">
        <f>SUM(Z87:BF87)</f>
        <v>0</v>
      </c>
      <c r="BS80"/>
      <c r="BT80"/>
      <c r="CN80" s="1">
        <f>SUM(AV80:CM80)</f>
        <v>0</v>
      </c>
      <c r="CX80" s="1"/>
      <c r="DG80" s="138"/>
    </row>
    <row r="81" spans="1:114" hidden="1">
      <c r="A81" s="295" t="s">
        <v>73</v>
      </c>
      <c r="B81" s="295"/>
      <c r="C81" s="295"/>
      <c r="D81" s="295">
        <f>SUM(D58:D80)</f>
        <v>28</v>
      </c>
      <c r="E81" s="295"/>
      <c r="F81" s="295"/>
      <c r="G81" s="295"/>
      <c r="H81" s="288"/>
      <c r="I81" s="288"/>
      <c r="J81" s="291"/>
      <c r="K81" s="291"/>
      <c r="L81" s="291"/>
      <c r="AA81"/>
      <c r="AB81"/>
      <c r="AW81" s="1">
        <f>SUM(P81:AV81)</f>
        <v>0</v>
      </c>
      <c r="BG81" s="1">
        <f>SUM(Z88:BF88)</f>
        <v>0</v>
      </c>
      <c r="BS81"/>
      <c r="BT81"/>
      <c r="CN81" s="1">
        <f>SUM(AV81:CM81)</f>
        <v>0</v>
      </c>
      <c r="CX81" s="1"/>
      <c r="DG81" s="138"/>
    </row>
    <row r="82" spans="1:114" hidden="1">
      <c r="A82" s="295" t="s">
        <v>122</v>
      </c>
      <c r="B82" s="295"/>
      <c r="C82" s="295"/>
      <c r="D82" s="295">
        <f>D81-D75-A91-D79-D80</f>
        <v>20</v>
      </c>
      <c r="E82" s="295"/>
      <c r="F82" s="295"/>
      <c r="G82" s="295"/>
      <c r="H82" s="288"/>
      <c r="I82" s="288"/>
      <c r="J82" s="291"/>
      <c r="K82" s="291"/>
      <c r="L82" s="291"/>
      <c r="AA82"/>
      <c r="AB82"/>
      <c r="AW82" s="1">
        <f>SUM(P82:AV82)</f>
        <v>0</v>
      </c>
      <c r="BG82" s="1">
        <f>SUM(Z89:BF89)</f>
        <v>0</v>
      </c>
      <c r="BS82"/>
      <c r="BT82"/>
      <c r="CN82" s="1">
        <f>SUM(AV82:CM82)</f>
        <v>0</v>
      </c>
      <c r="CX82" s="1">
        <f>SUM(BQ87:CW87)</f>
        <v>0</v>
      </c>
      <c r="DG82" s="138"/>
    </row>
    <row r="83" spans="1:114" hidden="1">
      <c r="A83" s="295"/>
      <c r="B83" s="295"/>
      <c r="C83" s="295"/>
      <c r="D83" s="295"/>
      <c r="E83" s="295"/>
      <c r="F83" s="295"/>
      <c r="G83" s="295"/>
      <c r="H83" s="288"/>
      <c r="I83" s="288"/>
      <c r="J83" s="291"/>
      <c r="K83" s="291"/>
      <c r="L83" s="291"/>
      <c r="AA83"/>
      <c r="AB83"/>
      <c r="AW83" s="1">
        <f>SUM(P83:AV83)</f>
        <v>0</v>
      </c>
      <c r="BG83" s="1">
        <f>SUM(Z90:BF90)</f>
        <v>0</v>
      </c>
      <c r="BS83"/>
      <c r="BT83"/>
      <c r="CN83" s="1">
        <f>SUM(AV83:CM83)</f>
        <v>0</v>
      </c>
      <c r="CX83" s="1">
        <f>SUM(BQ88:CW88)</f>
        <v>0</v>
      </c>
      <c r="DG83" s="138"/>
    </row>
    <row r="84" spans="1:114" hidden="1">
      <c r="A84" s="295"/>
      <c r="B84" s="295"/>
      <c r="C84" s="295"/>
      <c r="D84" s="295"/>
      <c r="E84" s="295"/>
      <c r="F84" s="295"/>
      <c r="G84" s="295"/>
      <c r="H84" s="288"/>
      <c r="I84" s="288"/>
      <c r="J84" s="291"/>
      <c r="K84" s="291"/>
      <c r="L84" s="33"/>
      <c r="AA84"/>
      <c r="AB84"/>
      <c r="BS84"/>
      <c r="BT84"/>
      <c r="CX84" s="1">
        <f>SUM(BQ89:CW89)</f>
        <v>0</v>
      </c>
      <c r="DG84" s="138"/>
    </row>
    <row r="85" spans="1:114" hidden="1">
      <c r="A85" s="295" t="s">
        <v>138</v>
      </c>
      <c r="B85" s="295"/>
      <c r="C85" s="295"/>
      <c r="D85" s="295"/>
      <c r="E85" s="295"/>
      <c r="F85" s="295"/>
      <c r="G85" s="295"/>
      <c r="H85" s="291"/>
      <c r="I85" s="288"/>
      <c r="J85" s="291"/>
      <c r="K85" s="291"/>
      <c r="L85" s="33"/>
      <c r="AA85"/>
      <c r="AB85"/>
      <c r="BS85"/>
      <c r="BT85"/>
      <c r="CX85" s="1">
        <f>SUM(BQ90:CW90)</f>
        <v>0</v>
      </c>
      <c r="DG85" s="138"/>
    </row>
    <row r="86" spans="1:114" hidden="1">
      <c r="A86" s="295">
        <f>COUNTIF(C15,"Normal uge 1")+COUNTIF(C15,"Normal uge 2")+COUNTIF(C15,"Normal uge 3")+COUNTIF(C15,"Normal uge 4")+COUNTIF(C15,"Anderledes dag")+COUNTIF(C15,"Feriepasningsdag")+COUNTIF(C15,"Koloni")+COUNTIF(C15,"Ekskursion")+COUNTIF(C15,"Pæd.dag")</f>
        <v>0</v>
      </c>
      <c r="B86" s="295"/>
      <c r="C86" s="295"/>
      <c r="D86" s="295"/>
      <c r="E86" s="295"/>
      <c r="F86" s="295"/>
      <c r="G86" s="295"/>
      <c r="H86" s="291"/>
      <c r="I86" s="291"/>
      <c r="J86" s="291"/>
      <c r="K86" s="291"/>
      <c r="L86" s="33"/>
      <c r="AA86"/>
      <c r="AB86"/>
      <c r="BS86"/>
      <c r="BT86"/>
      <c r="DG86" s="138"/>
    </row>
    <row r="87" spans="1:114" hidden="1">
      <c r="A87" s="295">
        <f>COUNTIF(C21:C22,"Normal uge 1")+COUNTIF(C21:C22,"Normal uge 2")+COUNTIF(C21:C22,"Normal uge 3")+COUNTIF(C21:C22,"Normal uge 4")+COUNTIF(C21:C22,"Anderledes dag")+COUNTIF(C21:C22,"Feriepasningsdag")+COUNTIF(C21:C22,"Pæd.dag")+COUNTIF(C21:C22,"Ekskursion")+COUNTIF(C21:C22,"Koloni")</f>
        <v>0</v>
      </c>
      <c r="B87" s="295"/>
      <c r="C87" s="295"/>
      <c r="D87" s="295"/>
      <c r="E87" s="295"/>
      <c r="F87" s="295"/>
      <c r="G87" s="295"/>
      <c r="H87" s="291"/>
      <c r="I87" s="33"/>
      <c r="J87" s="291"/>
      <c r="K87" s="291"/>
      <c r="L87" s="33"/>
      <c r="AA87"/>
      <c r="AB87"/>
      <c r="BS87"/>
      <c r="BT87"/>
      <c r="DG87" s="138"/>
    </row>
    <row r="88" spans="1:114" hidden="1">
      <c r="A88" s="295">
        <f>COUNTIF(C28:C29,"Normal uge 1")+COUNTIF(C28:C29,"Normal uge 2")+COUNTIF(C28:C29,"Normal uge 3")+COUNTIF(C28:C29,"Normal uge 4")+COUNTIF(C28:C29,"Anderledes dag")+COUNTIF(C28:C29,"Feriepasningsdag")+COUNTIF(C28:C29,"Pæd.dag")+COUNTIF(C28:C29,"Ekskursion")+COUNTIF(C28:C29,"Koloni")</f>
        <v>0</v>
      </c>
      <c r="B88" s="295"/>
      <c r="C88" s="295"/>
      <c r="D88" s="295"/>
      <c r="E88" s="288"/>
      <c r="F88" s="288"/>
      <c r="G88" s="288"/>
      <c r="H88" s="291"/>
      <c r="I88" s="33"/>
      <c r="J88" s="33"/>
      <c r="K88" s="33"/>
      <c r="L88" s="33"/>
      <c r="AA88"/>
      <c r="AB88"/>
      <c r="BS88"/>
      <c r="BT88"/>
      <c r="DG88" s="138"/>
    </row>
    <row r="89" spans="1:114" hidden="1">
      <c r="A89" s="295">
        <f>COUNTIF(C35:C36,"Normal uge 1")+COUNTIF(C35:C36,"Normal uge 2")+COUNTIF(C35:C36,"Normal uge 3")+COUNTIF(C35:C36,"Normal uge 4")+COUNTIF(C35:C36,"Anderledes dag")+COUNTIF(C35:C36,"Feriepasningsdag")+COUNTIF(C35:C36,"Koloni")+COUNTIF(C35:C36,"Ekskursion")+COUNTIF(C35:C36,"Pæd.dag")</f>
        <v>0</v>
      </c>
      <c r="B89" s="295"/>
      <c r="C89" s="295"/>
      <c r="D89" s="295"/>
      <c r="E89" s="288"/>
      <c r="F89" s="288"/>
      <c r="G89" s="288"/>
      <c r="H89" s="291"/>
      <c r="I89" s="33"/>
      <c r="J89" s="33"/>
      <c r="K89" s="33"/>
      <c r="L89" s="33"/>
      <c r="AA89"/>
      <c r="AB89"/>
      <c r="AF89" s="4"/>
      <c r="AG89" s="4"/>
      <c r="AH89" s="4"/>
      <c r="AI89" s="4"/>
      <c r="AJ89" s="4"/>
      <c r="AK89" s="4"/>
      <c r="AL89" s="4"/>
      <c r="AM89" s="127"/>
      <c r="AN89" s="127"/>
      <c r="AO89" s="127"/>
      <c r="AP89" s="127"/>
      <c r="BS89"/>
      <c r="BT89"/>
      <c r="BW89" s="4"/>
      <c r="BX89" s="4"/>
      <c r="BY89" s="4"/>
      <c r="BZ89" s="4"/>
      <c r="CA89" s="4"/>
      <c r="CB89" s="4"/>
      <c r="CC89" s="4"/>
      <c r="CD89" s="127"/>
      <c r="CE89" s="127"/>
      <c r="CF89" s="127"/>
      <c r="CG89" s="127"/>
      <c r="DI89" s="138"/>
      <c r="DJ89" s="138"/>
    </row>
    <row r="90" spans="1:114" hidden="1">
      <c r="A90" s="295">
        <f>COUNTIF(C42,"Normal uge 1")+COUNTIF(C42,"Normal uge 2")+COUNTIF(C42,"Normal uge 3")+COUNTIF(C42,"Normal uge 4")+COUNTIF(C42,"Anderledes dag")+COUNTIF(C42,"Feriepasningsdag")+COUNTIF(C42,"Koloni")+COUNTIF(C42,"Ekskursion")+COUNTIF(C42,"Pæd.dag")</f>
        <v>0</v>
      </c>
      <c r="B90" s="295"/>
      <c r="C90" s="295"/>
      <c r="D90" s="295"/>
      <c r="E90" s="288"/>
      <c r="F90" s="288"/>
      <c r="G90" s="288"/>
      <c r="H90" s="291"/>
      <c r="I90" s="33"/>
      <c r="J90" s="33"/>
      <c r="K90" s="33"/>
      <c r="L90" s="33"/>
      <c r="AA90"/>
      <c r="AB90"/>
      <c r="AF90" s="4"/>
      <c r="AG90" s="4"/>
      <c r="AH90" s="4"/>
      <c r="AI90" s="4"/>
      <c r="AJ90" s="4"/>
      <c r="AK90" s="4"/>
      <c r="AL90" s="4"/>
      <c r="AM90" s="127"/>
      <c r="AN90" s="127"/>
      <c r="AO90" s="127"/>
      <c r="AP90" s="127"/>
      <c r="BS90"/>
      <c r="BT90"/>
      <c r="BW90" s="4"/>
      <c r="BX90" s="4"/>
      <c r="BY90" s="4"/>
      <c r="BZ90" s="4"/>
      <c r="CA90" s="4"/>
      <c r="CB90" s="4"/>
      <c r="CC90" s="4"/>
      <c r="CD90" s="127"/>
      <c r="CE90" s="127"/>
      <c r="CF90" s="127"/>
      <c r="CG90" s="127"/>
      <c r="DI90" s="138"/>
      <c r="DJ90" s="138"/>
    </row>
    <row r="91" spans="1:114" hidden="1">
      <c r="A91" s="295">
        <f>SUM(A86:A90)</f>
        <v>0</v>
      </c>
      <c r="B91" s="295"/>
      <c r="C91" s="295"/>
      <c r="D91" s="295"/>
      <c r="E91" s="68"/>
      <c r="F91" s="68"/>
      <c r="G91" s="68"/>
      <c r="H91" s="33"/>
      <c r="I91" s="33"/>
      <c r="J91" s="33"/>
      <c r="K91" s="33"/>
      <c r="L91" s="33"/>
    </row>
    <row r="92" spans="1:114" hidden="1">
      <c r="A92" s="300"/>
      <c r="B92" s="300"/>
      <c r="C92" s="300"/>
      <c r="D92" s="300"/>
      <c r="E92" s="68"/>
      <c r="F92" s="68"/>
      <c r="G92" s="68"/>
      <c r="H92" s="33"/>
      <c r="I92" s="33"/>
      <c r="J92" s="33"/>
      <c r="K92" s="33"/>
      <c r="L92" s="33"/>
    </row>
    <row r="93" spans="1:114" hidden="1">
      <c r="A93" s="33"/>
      <c r="B93" s="33"/>
      <c r="C93" s="33"/>
      <c r="D93" s="33"/>
      <c r="E93" s="260"/>
      <c r="F93" s="260"/>
      <c r="G93" s="260"/>
      <c r="H93" s="260"/>
      <c r="I93" s="260"/>
      <c r="J93" s="260"/>
      <c r="K93" s="260"/>
      <c r="L93" s="260"/>
    </row>
    <row r="94" spans="1:114" ht="34" hidden="1" customHeight="1">
      <c r="A94" s="33"/>
      <c r="B94" s="33"/>
      <c r="C94" s="33"/>
      <c r="D94" s="33"/>
      <c r="E94" s="260"/>
      <c r="F94" s="260"/>
      <c r="G94" s="260"/>
      <c r="H94" s="260"/>
      <c r="I94" s="260"/>
      <c r="J94" s="260"/>
      <c r="K94" s="260"/>
      <c r="L94" s="260"/>
    </row>
    <row r="95" spans="1:114" hidden="1">
      <c r="A95" s="260"/>
      <c r="B95" s="260"/>
      <c r="C95" s="260"/>
      <c r="D95" s="260"/>
      <c r="E95" s="260"/>
      <c r="F95" s="260"/>
      <c r="G95" s="260"/>
      <c r="H95" s="260"/>
      <c r="I95" s="260"/>
      <c r="J95" s="260"/>
      <c r="K95" s="260"/>
      <c r="L95" s="260"/>
    </row>
    <row r="96" spans="1:114" ht="10" hidden="1" customHeight="1">
      <c r="A96" s="260"/>
      <c r="B96" s="260"/>
      <c r="C96" s="260"/>
      <c r="D96" s="260"/>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row>
    <row r="119" spans="1:12">
      <c r="A119" s="260"/>
      <c r="B119" s="260"/>
      <c r="C119" s="260"/>
      <c r="D119" s="260"/>
      <c r="E119" s="260"/>
      <c r="F119" s="260"/>
      <c r="G119" s="260"/>
      <c r="H119" s="260"/>
      <c r="I119" s="260"/>
      <c r="J119" s="260"/>
      <c r="K119" s="260"/>
    </row>
    <row r="120" spans="1:12">
      <c r="A120" s="260"/>
      <c r="B120" s="260"/>
      <c r="C120" s="260"/>
      <c r="D120" s="260"/>
      <c r="I120" s="260"/>
      <c r="J120" s="260"/>
      <c r="K120" s="260"/>
    </row>
    <row r="121" spans="1:12">
      <c r="A121" s="260"/>
      <c r="B121" s="260"/>
      <c r="C121" s="260"/>
      <c r="D121" s="260"/>
      <c r="J121" s="260"/>
      <c r="K121" s="260"/>
    </row>
    <row r="122" spans="1:12">
      <c r="A122" s="260"/>
      <c r="B122" s="260"/>
      <c r="C122" s="260"/>
      <c r="D122" s="260"/>
    </row>
    <row r="123" spans="1:12">
      <c r="A123" s="260"/>
      <c r="B123" s="260"/>
      <c r="C123" s="260"/>
      <c r="D123" s="260"/>
    </row>
    <row r="124" spans="1:12">
      <c r="A124" s="260"/>
      <c r="B124" s="260"/>
      <c r="C124" s="260"/>
      <c r="D124" s="260"/>
    </row>
    <row r="125" spans="1:12">
      <c r="A125" s="260"/>
      <c r="B125" s="260"/>
      <c r="C125" s="260"/>
      <c r="D125" s="260"/>
    </row>
  </sheetData>
  <sheetProtection sheet="1" objects="1" scenarios="1"/>
  <mergeCells count="113">
    <mergeCell ref="I49:J49"/>
    <mergeCell ref="A50:G50"/>
    <mergeCell ref="I50:J50"/>
    <mergeCell ref="A46:G46"/>
    <mergeCell ref="I46:J46"/>
    <mergeCell ref="A47:G47"/>
    <mergeCell ref="I47:J47"/>
    <mergeCell ref="A48:G48"/>
    <mergeCell ref="A61:C61"/>
    <mergeCell ref="L49:U49"/>
    <mergeCell ref="T50:U50"/>
    <mergeCell ref="I53:J53"/>
    <mergeCell ref="N10:O10"/>
    <mergeCell ref="N11:O11"/>
    <mergeCell ref="N12:O12"/>
    <mergeCell ref="N14:O14"/>
    <mergeCell ref="N51:S51"/>
    <mergeCell ref="A54:H54"/>
    <mergeCell ref="I54:J54"/>
    <mergeCell ref="I55:J55"/>
    <mergeCell ref="A59:C59"/>
    <mergeCell ref="A51:G51"/>
    <mergeCell ref="I51:J51"/>
    <mergeCell ref="A52:H52"/>
    <mergeCell ref="N53:S53"/>
    <mergeCell ref="N54:S54"/>
    <mergeCell ref="N50:S50"/>
    <mergeCell ref="L46:S46"/>
    <mergeCell ref="A60:C60"/>
    <mergeCell ref="I52:J52"/>
    <mergeCell ref="N52:S52"/>
    <mergeCell ref="A49:G49"/>
    <mergeCell ref="E30:G30"/>
    <mergeCell ref="E31:G31"/>
    <mergeCell ref="E32:G32"/>
    <mergeCell ref="E33:G33"/>
    <mergeCell ref="E34:G34"/>
    <mergeCell ref="E35:G35"/>
    <mergeCell ref="E36:G36"/>
    <mergeCell ref="E37:G37"/>
    <mergeCell ref="I48:J48"/>
    <mergeCell ref="E39:G39"/>
    <mergeCell ref="E40:G40"/>
    <mergeCell ref="E41:G41"/>
    <mergeCell ref="E42:G42"/>
    <mergeCell ref="E43:G43"/>
    <mergeCell ref="AJ12:AN12"/>
    <mergeCell ref="AO12:AS12"/>
    <mergeCell ref="AT12:AX12"/>
    <mergeCell ref="AY12:BC12"/>
    <mergeCell ref="BP12:BZ12"/>
    <mergeCell ref="BD12:BH12"/>
    <mergeCell ref="BI12:BM12"/>
    <mergeCell ref="E26:G26"/>
    <mergeCell ref="E15:G15"/>
    <mergeCell ref="E16:G16"/>
    <mergeCell ref="E17:G17"/>
    <mergeCell ref="E18:G18"/>
    <mergeCell ref="E19:G19"/>
    <mergeCell ref="E20:G20"/>
    <mergeCell ref="E21:G21"/>
    <mergeCell ref="E22:G22"/>
    <mergeCell ref="E23:G23"/>
    <mergeCell ref="E24:G24"/>
    <mergeCell ref="E25:G25"/>
    <mergeCell ref="CU12:CY12"/>
    <mergeCell ref="CZ12:DD12"/>
    <mergeCell ref="A2:D3"/>
    <mergeCell ref="A9:U9"/>
    <mergeCell ref="A10:D10"/>
    <mergeCell ref="E10:G10"/>
    <mergeCell ref="I10:J10"/>
    <mergeCell ref="K10:L10"/>
    <mergeCell ref="E2:Q3"/>
    <mergeCell ref="A11:M11"/>
    <mergeCell ref="P11:U11"/>
    <mergeCell ref="E12:G14"/>
    <mergeCell ref="I12:J12"/>
    <mergeCell ref="K12:K13"/>
    <mergeCell ref="L12:L13"/>
    <mergeCell ref="M12:M13"/>
    <mergeCell ref="P12:U12"/>
    <mergeCell ref="CA12:CT12"/>
    <mergeCell ref="A13:D14"/>
    <mergeCell ref="H13:H14"/>
    <mergeCell ref="I14:M14"/>
    <mergeCell ref="P14:R14"/>
    <mergeCell ref="S14:U14"/>
    <mergeCell ref="X12:AI12"/>
    <mergeCell ref="H63:I63"/>
    <mergeCell ref="A4:H4"/>
    <mergeCell ref="A8:B8"/>
    <mergeCell ref="C8:D8"/>
    <mergeCell ref="E8:F8"/>
    <mergeCell ref="G8:H8"/>
    <mergeCell ref="H62:I62"/>
    <mergeCell ref="A6:B6"/>
    <mergeCell ref="C6:D6"/>
    <mergeCell ref="E6:F6"/>
    <mergeCell ref="G6:H6"/>
    <mergeCell ref="A7:B7"/>
    <mergeCell ref="C7:D7"/>
    <mergeCell ref="E7:F7"/>
    <mergeCell ref="G7:H7"/>
    <mergeCell ref="A5:B5"/>
    <mergeCell ref="C5:D5"/>
    <mergeCell ref="E5:F5"/>
    <mergeCell ref="G5:H5"/>
    <mergeCell ref="I5:J5"/>
    <mergeCell ref="E38:G38"/>
    <mergeCell ref="E27:G27"/>
    <mergeCell ref="E28:G28"/>
    <mergeCell ref="E29:G29"/>
  </mergeCells>
  <phoneticPr fontId="4" type="noConversion"/>
  <conditionalFormatting sqref="A15:H15 D16:H37 A16:C43 D38:E38 H38 D39:H43">
    <cfRule type="expression" dxfId="1154" priority="28">
      <formula>OR($C15="Normal uge 2")</formula>
    </cfRule>
    <cfRule type="expression" dxfId="1153" priority="2">
      <formula>OR($C15="Normal uge 6")</formula>
    </cfRule>
    <cfRule type="expression" dxfId="1152" priority="3" stopIfTrue="1">
      <formula>OR($C15="Normal uge 5")</formula>
    </cfRule>
    <cfRule type="expression" dxfId="1151" priority="41" stopIfTrue="1">
      <formula>OR($C15="Rul 2")</formula>
    </cfRule>
    <cfRule type="expression" dxfId="1150" priority="40">
      <formula>OR($C15="weekend")</formula>
    </cfRule>
    <cfRule type="expression" dxfId="1149" priority="39">
      <formula>OR($C15="feriedag")</formula>
    </cfRule>
    <cfRule type="expression" dxfId="1148" priority="38" stopIfTrue="1">
      <formula>OR($C15="Ferieåbning")</formula>
    </cfRule>
    <cfRule type="expression" dxfId="1147" priority="37">
      <formula>OR($C15="Anderledes dag")</formula>
    </cfRule>
    <cfRule type="expression" dxfId="1146" priority="36">
      <formula>OR($C15="Koloni")</formula>
    </cfRule>
    <cfRule type="expression" dxfId="1145" priority="35">
      <formula>OR($C15="ekskursion")</formula>
    </cfRule>
    <cfRule type="expression" dxfId="1144" priority="34">
      <formula>OR($C15="SH-dag")</formula>
    </cfRule>
    <cfRule type="expression" dxfId="1143" priority="16" stopIfTrue="1">
      <formula>OR($C15="Rul 6")</formula>
    </cfRule>
    <cfRule type="expression" dxfId="1142" priority="17" stopIfTrue="1">
      <formula>OR($C15="Rul 5")</formula>
    </cfRule>
    <cfRule type="expression" dxfId="1141" priority="18" stopIfTrue="1">
      <formula>OR($C15="Rul 4")</formula>
    </cfRule>
    <cfRule type="expression" dxfId="1140" priority="19" stopIfTrue="1">
      <formula>OR($C15="Rul 3")</formula>
    </cfRule>
    <cfRule type="expression" dxfId="1139" priority="20" stopIfTrue="1">
      <formula>OR($C15="Rul 1")</formula>
    </cfRule>
    <cfRule type="expression" dxfId="1138" priority="21">
      <formula>OR($C15="Normal uge 1")</formula>
    </cfRule>
    <cfRule type="expression" dxfId="1137" priority="33">
      <formula>OR($C15="nul-dag")</formula>
    </cfRule>
    <cfRule type="expression" dxfId="1136" priority="32">
      <formula>OR($C15="pæd.dag")</formula>
    </cfRule>
    <cfRule type="expression" dxfId="1135" priority="31">
      <formula>OR($C15="Ikke relevant")</formula>
    </cfRule>
    <cfRule type="expression" dxfId="1134" priority="30">
      <formula>OR($C15="Normal uge 4")</formula>
    </cfRule>
    <cfRule type="expression" dxfId="1133" priority="29">
      <formula>OR($C15="Normal uge 3")</formula>
    </cfRule>
    <cfRule type="expression" dxfId="1132" priority="27">
      <formula>OR($C15="Orlov")</formula>
    </cfRule>
  </conditionalFormatting>
  <conditionalFormatting sqref="E26">
    <cfRule type="expression" dxfId="1131" priority="52">
      <formula>OR($D25="Ikke relevant")</formula>
    </cfRule>
    <cfRule type="expression" dxfId="1130" priority="42">
      <formula>OR($D25="pæd.dag")</formula>
    </cfRule>
    <cfRule type="expression" dxfId="1129" priority="43">
      <formula>OR($D25="nul-dag")</formula>
    </cfRule>
    <cfRule type="expression" dxfId="1128" priority="44">
      <formula>OR($D25="SH-dag")</formula>
    </cfRule>
    <cfRule type="expression" dxfId="1127" priority="45">
      <formula>OR($D25="ekskursion")</formula>
    </cfRule>
    <cfRule type="expression" dxfId="1126" priority="46">
      <formula>OR($D25="lejrskole")</formula>
    </cfRule>
    <cfRule type="expression" dxfId="1125" priority="47">
      <formula>OR($D25="emnedag")</formula>
    </cfRule>
    <cfRule type="expression" dxfId="1124" priority="48">
      <formula>OR($D25="fagdag")</formula>
    </cfRule>
    <cfRule type="expression" dxfId="1123" priority="49">
      <formula>OR($D25="feriedag")</formula>
    </cfRule>
    <cfRule type="expression" dxfId="1122" priority="50">
      <formula>OR($D25="weekend")</formula>
    </cfRule>
    <cfRule type="expression" dxfId="1121" priority="51" stopIfTrue="1">
      <formula>OR($D25="skoledag")</formula>
    </cfRule>
  </conditionalFormatting>
  <conditionalFormatting sqref="I15:J43">
    <cfRule type="expression" dxfId="1120" priority="25">
      <formula>OR($C15="Koloni",)</formula>
    </cfRule>
    <cfRule type="expression" dxfId="1119" priority="15" stopIfTrue="1">
      <formula>OR($C15="Ferieåbning",)</formula>
    </cfRule>
    <cfRule type="expression" dxfId="1118" priority="14">
      <formula>OR($C15="Anderledes dag",)</formula>
    </cfRule>
    <cfRule type="expression" dxfId="1117" priority="13">
      <formula>OR($C15="Ekskursion",)</formula>
    </cfRule>
  </conditionalFormatting>
  <conditionalFormatting sqref="J15:J43">
    <cfRule type="expression" dxfId="1116" priority="26">
      <formula>OR($C15="Pæd.dag",)</formula>
    </cfRule>
  </conditionalFormatting>
  <conditionalFormatting sqref="M15:M43">
    <cfRule type="expression" dxfId="1115" priority="53">
      <formula>OR($H15&gt;"0",)</formula>
    </cfRule>
  </conditionalFormatting>
  <conditionalFormatting sqref="O15:O43">
    <cfRule type="expression" dxfId="1113" priority="5">
      <formula>OR($N15&gt;0,)</formula>
    </cfRule>
  </conditionalFormatting>
  <conditionalFormatting sqref="S15:S43">
    <cfRule type="expression" dxfId="1112" priority="24">
      <formula>OR($P15="X",)</formula>
    </cfRule>
  </conditionalFormatting>
  <conditionalFormatting sqref="T15:T43">
    <cfRule type="expression" dxfId="1111" priority="23">
      <formula>OR($Q15="X",)</formula>
    </cfRule>
  </conditionalFormatting>
  <conditionalFormatting sqref="T51:T52 T54">
    <cfRule type="expression" dxfId="1110" priority="9">
      <formula>OR($L51&gt;0,)</formula>
    </cfRule>
  </conditionalFormatting>
  <conditionalFormatting sqref="U15:U43">
    <cfRule type="expression" dxfId="1109" priority="22">
      <formula>OR($R15="X",)</formula>
    </cfRule>
  </conditionalFormatting>
  <conditionalFormatting sqref="U51:U52 V53:W53 U54">
    <cfRule type="expression" dxfId="1108" priority="10">
      <formula>OR($M51&gt;0,)</formula>
    </cfRule>
  </conditionalFormatting>
  <conditionalFormatting sqref="BB52 BB54 BR56">
    <cfRule type="expression" dxfId="1107" priority="54">
      <formula>OR(#REF!&gt;0,)</formula>
    </cfRule>
  </conditionalFormatting>
  <conditionalFormatting sqref="BN54:BN56">
    <cfRule type="expression" dxfId="1106" priority="1">
      <formula>OR(#REF!&gt;0,)</formula>
    </cfRule>
  </conditionalFormatting>
  <conditionalFormatting sqref="BP53">
    <cfRule type="expression" dxfId="1105" priority="8">
      <formula>OR(#REF!&gt;0,)</formula>
    </cfRule>
  </conditionalFormatting>
  <dataValidations count="3">
    <dataValidation type="list" allowBlank="1" showInputMessage="1" showErrorMessage="1" sqref="P15:R43 L51:M52 L54:M54" xr:uid="{1F831A48-A69F-D248-8F51-34334C8AA768}">
      <formula1>$Y$1:$Y$2</formula1>
    </dataValidation>
    <dataValidation type="list" allowBlank="1" showInputMessage="1" sqref="C15:C43" xr:uid="{0DCA242F-5E2B-A241-A8E5-99F1317EC666}">
      <formula1>$A$58:$A$80</formula1>
    </dataValidation>
    <dataValidation type="list" allowBlank="1" showInputMessage="1" showErrorMessage="1" sqref="L53:M53" xr:uid="{DF95BB20-C39B-3548-AEBD-31DEC60DF082}">
      <formula1>$AC$1:$AC$2</formula1>
    </dataValidation>
  </dataValidations>
  <hyperlinks>
    <hyperlink ref="A5:B5" location="'Normal uger'!A11" display="Normale uger" xr:uid="{3E0AFD80-7E99-C046-A568-39D8D719D0F6}"/>
    <hyperlink ref="C5:D5" location="Rul!B20" display="Rul" xr:uid="{4A93F142-F2CB-B545-B4B9-0477D5890F0B}"/>
    <hyperlink ref="E5:F5" location="Arbejdstidsoversigt!A19" display="Arbejdstids-oversigt" xr:uid="{C57F22F5-21E3-5B48-AA3D-B1B30524510E}"/>
    <hyperlink ref="G5:H5" location="Opgørelse!B12" display="Opgørelse" xr:uid="{D2DB5114-8258-A94C-BE62-4E744F5226DF}"/>
    <hyperlink ref="A6:B6" location="August!A12" display="August" xr:uid="{3F169C32-EDC8-F74C-AD34-299CB223F7BC}"/>
    <hyperlink ref="C6:D6" location="September!A8" display="September" xr:uid="{50509AEF-8AF4-524D-9622-4314203A6607}"/>
    <hyperlink ref="E6:F6" location="Oktober!A8" display="Oktober" xr:uid="{CB2F85EB-E8D5-F946-AA1A-6E341CD902A6}"/>
    <hyperlink ref="G6:H6" location="November!A8" display="November" xr:uid="{DFEBBCAE-2425-C644-B9FE-B19A5D0D2468}"/>
    <hyperlink ref="A7:B7" location="December!A8" display="December" xr:uid="{D3BB8E03-1BFC-614E-955B-B92058E89F60}"/>
    <hyperlink ref="C7:D7" location="Januar!A8" display="Januar" xr:uid="{9DAA07F3-86C8-BA42-8437-E330F3FF2A25}"/>
    <hyperlink ref="E7:F7" location="Februar!A8" display="Februar" xr:uid="{6470DDD6-C53C-FF46-AF98-3D67DB0317DE}"/>
    <hyperlink ref="A8:B8" location="April!A8" display="April" xr:uid="{366A5412-821A-1D4B-98B1-D67067A77166}"/>
    <hyperlink ref="C8:D8" location="Maj!A8" display="Maj" xr:uid="{54653777-759F-8A4F-9605-97242BC868CE}"/>
    <hyperlink ref="E8:F8" location="Juni!A8" display="Juni" xr:uid="{C5F3BFA9-60F8-6747-BBE1-73BC1B8EA440}"/>
    <hyperlink ref="G8:H8" location="Juli!A8" display="Juli" xr:uid="{F6A9E209-3E3F-7B4A-929C-757DDFCD630D}"/>
    <hyperlink ref="G7:H7" location="Marts!A8" display="Marts" xr:uid="{E9F20D77-EC50-8546-BFB5-206AE02A07FA}"/>
    <hyperlink ref="I5:J5" location="Stamoplysninger!E18" display="Stamoplysninger" xr:uid="{075F72A1-6E82-4744-B6EF-D45C1E8EC323}"/>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8C94B960-9539-6743-A4FB-82FB8989B7AF}">
            <xm:f>OR(Arbejdstidsoversigt!$H$54="Puljetimer registreres ikke men afvikles jævnt hen over normperioden",)</xm:f>
            <x14:dxf>
              <fill>
                <patternFill>
                  <bgColor theme="1"/>
                </patternFill>
              </fill>
            </x14:dxf>
          </x14:cfRule>
          <xm:sqref>N15:N43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C032-8C35-1742-9516-8C59C02E863F}">
  <sheetPr>
    <tabColor theme="4" tint="-0.249977111117893"/>
    <pageSetUpPr fitToPage="1"/>
  </sheetPr>
  <dimension ref="A1:DT128"/>
  <sheetViews>
    <sheetView topLeftCell="A13" zoomScaleNormal="100" workbookViewId="0">
      <selection activeCell="M40" sqref="M40"/>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4" width="10.83203125" hidden="1" customWidth="1"/>
    <col min="125" max="128" width="0" hidden="1"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2" customHeight="1">
      <c r="A2" s="886">
        <v>3</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Marts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Januar!A12</f>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133</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5" si="0">CHOOSE(MOD(WEEKDAY(DATE(A$12,A$2,A15)),7)+1,"lø","sø","ma","ti","on","to","fr",)</f>
        <v>sø</v>
      </c>
      <c r="C15" s="73" t="s">
        <v>77</v>
      </c>
      <c r="D15" s="74" t="str">
        <f t="shared" ref="D15:D45"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5" si="2">IF(Q15="x",T15-L15,0)</f>
        <v>0</v>
      </c>
      <c r="X15" s="358">
        <f>IF($C$15="Anderledes dag",$I$15,0)</f>
        <v>0</v>
      </c>
      <c r="Y15" s="358">
        <f>IF(C15="Ferieåbning",I15,0)</f>
        <v>0</v>
      </c>
      <c r="Z15" s="358">
        <f t="shared" ref="Z15:Z45"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5" si="4">SUM(AJ15:AN15)*24</f>
        <v>0</v>
      </c>
      <c r="BP15" s="358">
        <f t="shared" ref="BP15:BP45" si="5">IF(C15="Anderledes dag",J15,0)</f>
        <v>0</v>
      </c>
      <c r="BQ15" s="358">
        <f t="shared" ref="BQ15:BQ45" si="6">IF(C15="Ferieåbning",J15,0)</f>
        <v>0</v>
      </c>
      <c r="BR15" s="358">
        <f t="shared" ref="BR15:BR45" si="7">IF(C15="Pæd.dag",J15,0)</f>
        <v>0</v>
      </c>
      <c r="BS15" s="358">
        <f t="shared" ref="BS15:BS45" si="8">IF(C15="Ekskursion",J15,0)</f>
        <v>0</v>
      </c>
      <c r="BT15" s="358">
        <f t="shared" ref="BT15:BT45"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5" si="10">IF(AND(E15&gt;0,H15&gt;0),""&amp;E15&amp;" og "&amp;H15&amp;"","")</f>
        <v/>
      </c>
      <c r="DG15">
        <f t="shared" ref="DG15:DG45" si="11">IF(H15="",E15,"")</f>
        <v>0</v>
      </c>
      <c r="DH15">
        <f t="shared" ref="DH15:DH45" si="12">IF(E15="",H15,"")</f>
        <v>0</v>
      </c>
      <c r="DI15" t="str">
        <f t="shared" ref="DI15:DK46" si="13">IF(DF15=0,"",DF15)</f>
        <v/>
      </c>
      <c r="DJ15" t="str">
        <f>IF(DG15=0,"",DG15)</f>
        <v/>
      </c>
      <c r="DK15" t="str">
        <f>IF(DH15=0,"",DH15)</f>
        <v/>
      </c>
      <c r="DL15" t="str">
        <f>DI15&amp;""&amp;DJ15&amp;""&amp;DK15</f>
        <v/>
      </c>
    </row>
    <row r="16" spans="1:116">
      <c r="A16" s="135">
        <f t="shared" ref="A16:A44" si="14">IF(ISNUMBER(A15),A15+1,1)</f>
        <v>2</v>
      </c>
      <c r="B16" s="72" t="str">
        <f t="shared" si="0"/>
        <v>ma</v>
      </c>
      <c r="C16" s="73" t="s">
        <v>217</v>
      </c>
      <c r="D16" s="74">
        <f t="shared" si="1"/>
        <v>9.5714285714285712</v>
      </c>
      <c r="E16" s="858"/>
      <c r="F16" s="859"/>
      <c r="G16" s="860"/>
      <c r="H16" s="175"/>
      <c r="I16" s="221"/>
      <c r="J16" s="221"/>
      <c r="K16" s="191">
        <f t="shared" ref="K16:K45" si="15">BN16</f>
        <v>0</v>
      </c>
      <c r="L16" s="191">
        <f t="shared" ref="L16:L45" si="16">DE16</f>
        <v>0</v>
      </c>
      <c r="M16" s="238"/>
      <c r="N16" s="357"/>
      <c r="O16" s="408"/>
      <c r="P16" s="195"/>
      <c r="Q16" s="196"/>
      <c r="R16" s="196"/>
      <c r="S16" s="192"/>
      <c r="T16" s="255"/>
      <c r="U16" s="193"/>
      <c r="V16">
        <f t="shared" ref="V16:V45" si="17">IF(P16="x",S16-K16,0)</f>
        <v>0</v>
      </c>
      <c r="W16">
        <f t="shared" si="2"/>
        <v>0</v>
      </c>
      <c r="X16" s="358">
        <f t="shared" ref="X16:X45" si="18">IF(C16="Anderledes dag",I16,0)</f>
        <v>0</v>
      </c>
      <c r="Y16" s="358">
        <f t="shared" ref="Y16:Y45" si="19">IF(C16="Ferieåbning",I16,0)</f>
        <v>0</v>
      </c>
      <c r="Z16" s="358">
        <f t="shared" si="3"/>
        <v>0</v>
      </c>
      <c r="AA16" s="358">
        <f t="shared" ref="AA16:AA45" si="20">IF(C16="Ekskursion",I16,0)</f>
        <v>0</v>
      </c>
      <c r="AB16" s="358">
        <f t="shared" ref="AB16:AB45"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5" si="23">SUM(BP16:DD16)</f>
        <v>0</v>
      </c>
      <c r="DF16" t="str">
        <f t="shared" si="10"/>
        <v/>
      </c>
      <c r="DG16">
        <f t="shared" si="11"/>
        <v>0</v>
      </c>
      <c r="DH16">
        <f t="shared" si="12"/>
        <v>0</v>
      </c>
      <c r="DI16" t="str">
        <f t="shared" si="13"/>
        <v/>
      </c>
      <c r="DJ16" t="str">
        <f t="shared" si="13"/>
        <v/>
      </c>
      <c r="DK16" t="str">
        <f t="shared" si="13"/>
        <v/>
      </c>
      <c r="DL16" t="str">
        <f t="shared" ref="DL16:DL45" si="24">DI16&amp;""&amp;DJ16&amp;""&amp;DK16</f>
        <v/>
      </c>
    </row>
    <row r="17" spans="1:116">
      <c r="A17" s="135">
        <f t="shared" si="14"/>
        <v>3</v>
      </c>
      <c r="B17" s="72" t="str">
        <f t="shared" si="0"/>
        <v>ti</v>
      </c>
      <c r="C17" s="73" t="s">
        <v>217</v>
      </c>
      <c r="D17" s="74" t="str">
        <f t="shared" si="1"/>
        <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on</v>
      </c>
      <c r="C18" s="73" t="s">
        <v>217</v>
      </c>
      <c r="D18" s="74" t="str">
        <f t="shared" si="1"/>
        <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to</v>
      </c>
      <c r="C19" s="73" t="s">
        <v>217</v>
      </c>
      <c r="D19" s="74" t="str">
        <f t="shared" si="1"/>
        <v/>
      </c>
      <c r="E19" s="858"/>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f t="shared" si="11"/>
        <v>0</v>
      </c>
      <c r="DH19">
        <f t="shared" si="12"/>
        <v>0</v>
      </c>
      <c r="DI19" t="str">
        <f t="shared" si="13"/>
        <v/>
      </c>
      <c r="DJ19" t="str">
        <f t="shared" si="13"/>
        <v/>
      </c>
      <c r="DK19" t="str">
        <f t="shared" si="13"/>
        <v/>
      </c>
      <c r="DL19" t="str">
        <f t="shared" si="24"/>
        <v/>
      </c>
    </row>
    <row r="20" spans="1:116" ht="16" customHeight="1">
      <c r="A20" s="135">
        <f t="shared" si="14"/>
        <v>6</v>
      </c>
      <c r="B20" s="72" t="str">
        <f t="shared" si="0"/>
        <v>fr</v>
      </c>
      <c r="C20" s="73" t="s">
        <v>217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lø</v>
      </c>
      <c r="C21" s="73" t="s">
        <v>77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sø</v>
      </c>
      <c r="C22" s="73" t="s">
        <v>77</v>
      </c>
      <c r="D22" s="74" t="str">
        <f t="shared" si="1"/>
        <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ma</v>
      </c>
      <c r="C23" s="73" t="s">
        <v>217</v>
      </c>
      <c r="D23" s="74">
        <f t="shared" si="1"/>
        <v>10.571428571428571</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ti</v>
      </c>
      <c r="C24" s="73" t="s">
        <v>217</v>
      </c>
      <c r="D24" s="74" t="str">
        <f t="shared" si="1"/>
        <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on</v>
      </c>
      <c r="C25" s="73" t="s">
        <v>217</v>
      </c>
      <c r="D25" s="74" t="str">
        <f t="shared" si="1"/>
        <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to</v>
      </c>
      <c r="C26" s="73" t="s">
        <v>217</v>
      </c>
      <c r="D26" s="74" t="str">
        <f t="shared" si="1"/>
        <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fr</v>
      </c>
      <c r="C27" s="73" t="s">
        <v>217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lø</v>
      </c>
      <c r="C28" s="73" t="s">
        <v>77</v>
      </c>
      <c r="D28" s="74" t="str">
        <f t="shared" si="1"/>
        <v/>
      </c>
      <c r="E28" s="861"/>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15</v>
      </c>
      <c r="B29" s="72" t="str">
        <f t="shared" si="0"/>
        <v>sø</v>
      </c>
      <c r="C29" s="73" t="s">
        <v>77</v>
      </c>
      <c r="D29" s="74" t="str">
        <f t="shared" si="1"/>
        <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ma</v>
      </c>
      <c r="C30" s="73" t="s">
        <v>217</v>
      </c>
      <c r="D30" s="74">
        <f t="shared" si="1"/>
        <v>11.571428571428571</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ti</v>
      </c>
      <c r="C31" s="73" t="s">
        <v>217</v>
      </c>
      <c r="D31" s="74" t="str">
        <f t="shared" si="1"/>
        <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on</v>
      </c>
      <c r="C32" s="73" t="s">
        <v>217</v>
      </c>
      <c r="D32" s="74" t="str">
        <f t="shared" si="1"/>
        <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to</v>
      </c>
      <c r="C33" s="73" t="s">
        <v>217</v>
      </c>
      <c r="D33" s="74" t="str">
        <f t="shared" si="1"/>
        <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fr</v>
      </c>
      <c r="C34" s="73" t="s">
        <v>217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lø</v>
      </c>
      <c r="C35" s="73" t="s">
        <v>77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sø</v>
      </c>
      <c r="C36" s="73" t="s">
        <v>77</v>
      </c>
      <c r="D36" s="74" t="str">
        <f t="shared" si="1"/>
        <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ma</v>
      </c>
      <c r="C37" s="73" t="s">
        <v>217</v>
      </c>
      <c r="D37" s="74">
        <f t="shared" si="1"/>
        <v>12.571428571428571</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ti</v>
      </c>
      <c r="C38" s="73" t="s">
        <v>217</v>
      </c>
      <c r="D38" s="74" t="str">
        <f t="shared" si="1"/>
        <v/>
      </c>
      <c r="E38" s="861"/>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25</v>
      </c>
      <c r="B39" s="72" t="str">
        <f t="shared" si="0"/>
        <v>on</v>
      </c>
      <c r="C39" s="73" t="s">
        <v>217</v>
      </c>
      <c r="D39" s="74" t="str">
        <f t="shared" si="1"/>
        <v/>
      </c>
      <c r="E39" s="858"/>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 t="shared" si="14"/>
        <v>26</v>
      </c>
      <c r="B40" s="72" t="str">
        <f t="shared" si="0"/>
        <v>to</v>
      </c>
      <c r="C40" s="73" t="s">
        <v>217</v>
      </c>
      <c r="D40" s="74" t="str">
        <f t="shared" si="1"/>
        <v/>
      </c>
      <c r="E40" s="858"/>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f t="shared" si="11"/>
        <v>0</v>
      </c>
      <c r="DH40">
        <f t="shared" si="12"/>
        <v>0</v>
      </c>
      <c r="DI40" t="str">
        <f t="shared" si="13"/>
        <v/>
      </c>
      <c r="DJ40" t="str">
        <f t="shared" si="13"/>
        <v/>
      </c>
      <c r="DK40" t="str">
        <f t="shared" si="13"/>
        <v/>
      </c>
      <c r="DL40" t="str">
        <f t="shared" si="24"/>
        <v/>
      </c>
    </row>
    <row r="41" spans="1:116">
      <c r="A41" s="135">
        <f t="shared" si="14"/>
        <v>27</v>
      </c>
      <c r="B41" s="72" t="str">
        <f t="shared" si="0"/>
        <v>fr</v>
      </c>
      <c r="C41" s="73" t="s">
        <v>217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lø</v>
      </c>
      <c r="C42" s="73" t="s">
        <v>77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c r="A43" s="135">
        <f>IF(ISNUMBER(A42),A42+1,1)</f>
        <v>29</v>
      </c>
      <c r="B43" s="72" t="str">
        <f t="shared" si="0"/>
        <v>sø</v>
      </c>
      <c r="C43" s="73" t="s">
        <v>77</v>
      </c>
      <c r="D43" s="74" t="str">
        <f t="shared" si="1"/>
        <v/>
      </c>
      <c r="E43" s="858" t="s">
        <v>102</v>
      </c>
      <c r="F43" s="859"/>
      <c r="G43" s="860"/>
      <c r="H43" s="175"/>
      <c r="I43" s="221"/>
      <c r="J43" s="221"/>
      <c r="K43" s="191">
        <f t="shared" si="15"/>
        <v>0</v>
      </c>
      <c r="L43" s="191">
        <f t="shared" si="16"/>
        <v>0</v>
      </c>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10"/>
        <v/>
      </c>
      <c r="DG43" t="str">
        <f t="shared" si="11"/>
        <v>Palmesøndag</v>
      </c>
      <c r="DH43" t="str">
        <f t="shared" si="12"/>
        <v/>
      </c>
      <c r="DI43" t="str">
        <f t="shared" si="13"/>
        <v/>
      </c>
      <c r="DJ43" t="str">
        <f t="shared" si="13"/>
        <v>Palmesøndag</v>
      </c>
      <c r="DK43" t="str">
        <f t="shared" si="13"/>
        <v/>
      </c>
      <c r="DL43" t="str">
        <f t="shared" si="24"/>
        <v>Palmesøndag</v>
      </c>
    </row>
    <row r="44" spans="1:116">
      <c r="A44" s="135">
        <f t="shared" si="14"/>
        <v>30</v>
      </c>
      <c r="B44" s="72" t="str">
        <f t="shared" si="0"/>
        <v>ma</v>
      </c>
      <c r="C44" s="73" t="s">
        <v>217</v>
      </c>
      <c r="D44" s="74">
        <f t="shared" si="1"/>
        <v>13.571428571428571</v>
      </c>
      <c r="E44" s="858"/>
      <c r="F44" s="859"/>
      <c r="G44" s="860"/>
      <c r="H44" s="175"/>
      <c r="I44" s="221"/>
      <c r="J44" s="221"/>
      <c r="K44" s="191">
        <f t="shared" si="15"/>
        <v>0</v>
      </c>
      <c r="L44" s="191">
        <f t="shared" si="16"/>
        <v>0</v>
      </c>
      <c r="M44" s="238"/>
      <c r="N44" s="357"/>
      <c r="O44" s="408"/>
      <c r="P44" s="195"/>
      <c r="Q44" s="196"/>
      <c r="R44" s="254"/>
      <c r="S44" s="192"/>
      <c r="T44" s="255"/>
      <c r="U44" s="193"/>
      <c r="V44">
        <f t="shared" si="17"/>
        <v>0</v>
      </c>
      <c r="W44">
        <f t="shared" si="2"/>
        <v>0</v>
      </c>
      <c r="X44" s="358">
        <f t="shared" si="18"/>
        <v>0</v>
      </c>
      <c r="Y44" s="358">
        <f t="shared" si="19"/>
        <v>0</v>
      </c>
      <c r="Z44" s="358">
        <f t="shared" si="3"/>
        <v>0</v>
      </c>
      <c r="AA44" s="358">
        <f t="shared" si="20"/>
        <v>0</v>
      </c>
      <c r="AB44" s="358">
        <f t="shared" si="21"/>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2"/>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10"/>
        <v/>
      </c>
      <c r="DG44">
        <f t="shared" si="11"/>
        <v>0</v>
      </c>
      <c r="DH44">
        <f t="shared" si="12"/>
        <v>0</v>
      </c>
      <c r="DI44" t="str">
        <f t="shared" si="13"/>
        <v/>
      </c>
      <c r="DJ44" t="str">
        <f t="shared" si="13"/>
        <v/>
      </c>
      <c r="DK44" t="str">
        <f t="shared" si="13"/>
        <v/>
      </c>
      <c r="DL44" t="str">
        <f t="shared" si="24"/>
        <v/>
      </c>
    </row>
    <row r="45" spans="1:116">
      <c r="A45" s="135">
        <f>IF(ISNUMBER(A44),A44+1,1)</f>
        <v>31</v>
      </c>
      <c r="B45" s="72" t="str">
        <f t="shared" si="0"/>
        <v>ti</v>
      </c>
      <c r="C45" s="73" t="s">
        <v>217</v>
      </c>
      <c r="D45" s="74" t="str">
        <f t="shared" si="1"/>
        <v/>
      </c>
      <c r="E45" s="861"/>
      <c r="F45" s="862"/>
      <c r="G45" s="863"/>
      <c r="H45" s="174"/>
      <c r="I45" s="221"/>
      <c r="J45" s="221"/>
      <c r="K45" s="191">
        <f t="shared" si="15"/>
        <v>0</v>
      </c>
      <c r="L45" s="191">
        <f t="shared" si="16"/>
        <v>0</v>
      </c>
      <c r="M45" s="238"/>
      <c r="N45" s="357"/>
      <c r="O45" s="408"/>
      <c r="P45" s="195"/>
      <c r="Q45" s="196"/>
      <c r="R45" s="118"/>
      <c r="S45" s="192"/>
      <c r="T45" s="255"/>
      <c r="U45" s="256"/>
      <c r="V45">
        <f t="shared" si="17"/>
        <v>0</v>
      </c>
      <c r="W45">
        <f t="shared" si="2"/>
        <v>0</v>
      </c>
      <c r="X45" s="358">
        <f t="shared" si="18"/>
        <v>0</v>
      </c>
      <c r="Y45" s="358">
        <f t="shared" si="19"/>
        <v>0</v>
      </c>
      <c r="Z45" s="358">
        <f t="shared" si="3"/>
        <v>0</v>
      </c>
      <c r="AA45" s="358">
        <f t="shared" si="20"/>
        <v>0</v>
      </c>
      <c r="AB45" s="358">
        <f t="shared" si="21"/>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 t="shared" ref="BN45" si="25">SUM(X45:BC45)</f>
        <v>0</v>
      </c>
      <c r="BO45" s="125">
        <f t="shared" si="4"/>
        <v>0</v>
      </c>
      <c r="BP45" s="358">
        <f t="shared" si="5"/>
        <v>0</v>
      </c>
      <c r="BQ45" s="358">
        <f t="shared" si="6"/>
        <v>0</v>
      </c>
      <c r="BR45" s="358">
        <f t="shared" si="7"/>
        <v>0</v>
      </c>
      <c r="BS45" s="358">
        <f t="shared" si="8"/>
        <v>0</v>
      </c>
      <c r="BT45" s="358">
        <f t="shared" si="9"/>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3"/>
        <v>0</v>
      </c>
      <c r="DF45" t="str">
        <f t="shared" si="10"/>
        <v/>
      </c>
      <c r="DG45">
        <f t="shared" si="11"/>
        <v>0</v>
      </c>
      <c r="DH45">
        <f t="shared" si="12"/>
        <v>0</v>
      </c>
      <c r="DI45" t="str">
        <f t="shared" si="13"/>
        <v/>
      </c>
      <c r="DJ45" t="str">
        <f t="shared" si="13"/>
        <v/>
      </c>
      <c r="DK45" t="str">
        <f t="shared" si="13"/>
        <v/>
      </c>
      <c r="DL45" t="str">
        <f t="shared" si="24"/>
        <v/>
      </c>
    </row>
    <row r="46" spans="1:116" ht="17" thickBot="1">
      <c r="A46" s="368" t="s">
        <v>127</v>
      </c>
      <c r="B46" s="369"/>
      <c r="C46" s="369"/>
      <c r="D46" s="369"/>
      <c r="E46" s="369"/>
      <c r="F46" s="369"/>
      <c r="G46" s="369"/>
      <c r="H46" s="369"/>
      <c r="I46" s="194"/>
      <c r="J46" s="194"/>
      <c r="K46" s="194">
        <f>SUM(K15:K45)</f>
        <v>0</v>
      </c>
      <c r="L46" s="194">
        <f t="shared" ref="L46" si="26">SUM(L15:L45)</f>
        <v>0</v>
      </c>
      <c r="M46"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1"/>
      <c r="O46" s="412">
        <f>SUM(O15:O45)</f>
        <v>0</v>
      </c>
      <c r="P46" s="249"/>
      <c r="Q46" s="250"/>
      <c r="R46" s="250"/>
      <c r="S46"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8">
        <f>W15+W16+W17+W18+W19+W20+W21+W22+W23+W24+W25+W26+W27+W28+W29+W30+W31+W32+W33+W34+W35+W36+W37+W38+W39+W40+W41+W42+W43+W44+W45</f>
        <v>0</v>
      </c>
      <c r="X46" s="129">
        <f t="shared" ref="X46:AC46" si="27">SUM(X15:X45)</f>
        <v>0</v>
      </c>
      <c r="Y46" s="129">
        <f t="shared" si="27"/>
        <v>0</v>
      </c>
      <c r="Z46" s="129">
        <f t="shared" si="27"/>
        <v>0</v>
      </c>
      <c r="AA46" s="129">
        <f t="shared" si="27"/>
        <v>0</v>
      </c>
      <c r="AB46" s="129">
        <f t="shared" si="27"/>
        <v>0</v>
      </c>
      <c r="AC46" s="129">
        <f t="shared" si="27"/>
        <v>0</v>
      </c>
      <c r="AD46">
        <f t="shared" ref="AD46:BM46" si="28">COUNTIF(AD15:AD45,"&gt;0")</f>
        <v>0</v>
      </c>
      <c r="AE46">
        <f t="shared" si="28"/>
        <v>0</v>
      </c>
      <c r="AF46">
        <f t="shared" si="28"/>
        <v>0</v>
      </c>
      <c r="AG46">
        <f t="shared" si="28"/>
        <v>0</v>
      </c>
      <c r="AH46">
        <f t="shared" si="28"/>
        <v>0</v>
      </c>
      <c r="AI46">
        <f t="shared" si="28"/>
        <v>0</v>
      </c>
      <c r="AJ46">
        <f t="shared" si="28"/>
        <v>0</v>
      </c>
      <c r="AK46">
        <f t="shared" si="28"/>
        <v>0</v>
      </c>
      <c r="AL46">
        <f t="shared" si="28"/>
        <v>0</v>
      </c>
      <c r="AM46">
        <f t="shared" si="28"/>
        <v>0</v>
      </c>
      <c r="AN46">
        <f t="shared" si="28"/>
        <v>0</v>
      </c>
      <c r="AO46">
        <f t="shared" si="28"/>
        <v>0</v>
      </c>
      <c r="AP46">
        <f t="shared" si="28"/>
        <v>0</v>
      </c>
      <c r="AQ46">
        <f t="shared" si="28"/>
        <v>0</v>
      </c>
      <c r="AR46">
        <f t="shared" si="28"/>
        <v>0</v>
      </c>
      <c r="AS46">
        <f t="shared" si="28"/>
        <v>0</v>
      </c>
      <c r="AT46">
        <f t="shared" si="28"/>
        <v>0</v>
      </c>
      <c r="AU46">
        <f t="shared" si="28"/>
        <v>0</v>
      </c>
      <c r="AV46">
        <f t="shared" si="28"/>
        <v>0</v>
      </c>
      <c r="AW46">
        <f t="shared" si="28"/>
        <v>0</v>
      </c>
      <c r="AX46">
        <f t="shared" si="28"/>
        <v>0</v>
      </c>
      <c r="AY46">
        <f t="shared" si="28"/>
        <v>0</v>
      </c>
      <c r="AZ46">
        <f t="shared" si="28"/>
        <v>0</v>
      </c>
      <c r="BA46">
        <f t="shared" si="28"/>
        <v>0</v>
      </c>
      <c r="BB46">
        <f t="shared" si="28"/>
        <v>0</v>
      </c>
      <c r="BC46">
        <f t="shared" si="28"/>
        <v>0</v>
      </c>
      <c r="BD46">
        <f t="shared" si="28"/>
        <v>0</v>
      </c>
      <c r="BE46">
        <f t="shared" si="28"/>
        <v>0</v>
      </c>
      <c r="BF46">
        <f t="shared" si="28"/>
        <v>0</v>
      </c>
      <c r="BG46">
        <f t="shared" si="28"/>
        <v>0</v>
      </c>
      <c r="BH46">
        <f t="shared" si="28"/>
        <v>0</v>
      </c>
      <c r="BI46">
        <f t="shared" si="28"/>
        <v>0</v>
      </c>
      <c r="BJ46">
        <f t="shared" si="28"/>
        <v>0</v>
      </c>
      <c r="BK46">
        <f t="shared" si="28"/>
        <v>0</v>
      </c>
      <c r="BL46">
        <f t="shared" si="28"/>
        <v>0</v>
      </c>
      <c r="BM46">
        <f t="shared" si="28"/>
        <v>0</v>
      </c>
      <c r="BN46" s="1">
        <f>SUM(BN15:BN45)</f>
        <v>0</v>
      </c>
      <c r="BO46" s="62"/>
      <c r="BP46" s="129">
        <f t="shared" ref="BP46:BT46" si="29">SUM(BP15:BP45)</f>
        <v>0</v>
      </c>
      <c r="BQ46" s="129">
        <f t="shared" si="29"/>
        <v>0</v>
      </c>
      <c r="BR46" s="129">
        <f t="shared" si="29"/>
        <v>0</v>
      </c>
      <c r="BS46" s="129">
        <f t="shared" si="29"/>
        <v>0</v>
      </c>
      <c r="BT46" s="129">
        <f t="shared" si="29"/>
        <v>0</v>
      </c>
      <c r="BU46" s="129"/>
      <c r="BV46" s="129"/>
      <c r="BW46" s="129"/>
      <c r="BX46" s="129"/>
      <c r="BY46" s="129"/>
      <c r="BZ46" s="129"/>
      <c r="CA46">
        <f t="shared" ref="CA46:DD46" si="30">COUNTIF(CA15:CA45,"&gt;0")</f>
        <v>0</v>
      </c>
      <c r="CB46">
        <f t="shared" si="30"/>
        <v>0</v>
      </c>
      <c r="CC46">
        <f t="shared" si="30"/>
        <v>0</v>
      </c>
      <c r="CD46">
        <f t="shared" si="30"/>
        <v>0</v>
      </c>
      <c r="CE46">
        <f t="shared" si="30"/>
        <v>0</v>
      </c>
      <c r="CF46">
        <f t="shared" si="30"/>
        <v>0</v>
      </c>
      <c r="CG46">
        <f t="shared" si="30"/>
        <v>0</v>
      </c>
      <c r="CH46">
        <f t="shared" si="30"/>
        <v>0</v>
      </c>
      <c r="CI46">
        <f t="shared" si="30"/>
        <v>0</v>
      </c>
      <c r="CJ46">
        <f t="shared" si="30"/>
        <v>0</v>
      </c>
      <c r="CK46">
        <f t="shared" si="30"/>
        <v>0</v>
      </c>
      <c r="CL46">
        <f t="shared" si="30"/>
        <v>0</v>
      </c>
      <c r="CM46">
        <f t="shared" si="30"/>
        <v>0</v>
      </c>
      <c r="CN46">
        <f t="shared" si="30"/>
        <v>0</v>
      </c>
      <c r="CO46">
        <f t="shared" si="30"/>
        <v>0</v>
      </c>
      <c r="CP46">
        <f t="shared" si="30"/>
        <v>0</v>
      </c>
      <c r="CQ46">
        <f t="shared" si="30"/>
        <v>0</v>
      </c>
      <c r="CR46">
        <f t="shared" si="30"/>
        <v>0</v>
      </c>
      <c r="CS46">
        <f t="shared" si="30"/>
        <v>0</v>
      </c>
      <c r="CT46">
        <f t="shared" si="30"/>
        <v>0</v>
      </c>
      <c r="CU46">
        <f t="shared" si="30"/>
        <v>0</v>
      </c>
      <c r="CV46">
        <f t="shared" si="30"/>
        <v>0</v>
      </c>
      <c r="CW46">
        <f t="shared" si="30"/>
        <v>0</v>
      </c>
      <c r="CX46">
        <f t="shared" si="30"/>
        <v>0</v>
      </c>
      <c r="CY46">
        <f t="shared" si="30"/>
        <v>0</v>
      </c>
      <c r="CZ46">
        <f t="shared" si="30"/>
        <v>0</v>
      </c>
      <c r="DA46">
        <f t="shared" si="30"/>
        <v>0</v>
      </c>
      <c r="DB46">
        <f t="shared" si="30"/>
        <v>0</v>
      </c>
      <c r="DC46">
        <f t="shared" si="30"/>
        <v>0</v>
      </c>
      <c r="DD46">
        <f t="shared" si="30"/>
        <v>0</v>
      </c>
      <c r="DJ46" t="str">
        <f t="shared" si="13"/>
        <v/>
      </c>
      <c r="DK46" t="str">
        <f t="shared" si="13"/>
        <v/>
      </c>
      <c r="DL46" t="str">
        <f t="shared" ref="DL46" si="31">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7"/>
      <c r="AA47" s="137"/>
      <c r="AB47" s="115"/>
      <c r="AC47" s="129"/>
      <c r="AD47" s="115"/>
      <c r="AE47" s="115"/>
      <c r="AF47" s="129"/>
      <c r="AG47" s="129"/>
      <c r="AH47" s="129"/>
      <c r="AI47" s="129"/>
      <c r="AJ47" s="129"/>
      <c r="AK47" s="129"/>
      <c r="AL47" s="129"/>
      <c r="AM47" s="129"/>
      <c r="AN47" s="129"/>
      <c r="AO47" s="129"/>
      <c r="BR47" s="257"/>
      <c r="BS47" s="137"/>
      <c r="BT47" s="137"/>
      <c r="BU47" s="129"/>
      <c r="BV47" s="115"/>
      <c r="BW47" s="129"/>
      <c r="BX47" s="129"/>
      <c r="BY47" s="129"/>
      <c r="BZ47" s="129"/>
      <c r="CA47" s="34">
        <f>IF(OR(CA15&gt;0.1,AJ15&gt;0),1,0)+IF(OR(CA16&gt;0.1,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f>
        <v>0</v>
      </c>
      <c r="CB47" s="34">
        <f t="shared" ref="CB47:DD47" si="32">IF(OR(CB15&gt;0.1,AK15&gt;0),1,0)+IF(OR(CB16&gt;0.1,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f>
        <v>0</v>
      </c>
      <c r="CC47" s="34">
        <f t="shared" si="32"/>
        <v>0</v>
      </c>
      <c r="CD47" s="34">
        <f t="shared" si="32"/>
        <v>0</v>
      </c>
      <c r="CE47" s="34">
        <f t="shared" si="32"/>
        <v>0</v>
      </c>
      <c r="CF47" s="34">
        <f t="shared" si="32"/>
        <v>0</v>
      </c>
      <c r="CG47" s="34">
        <f t="shared" si="32"/>
        <v>0</v>
      </c>
      <c r="CH47" s="34">
        <f t="shared" si="32"/>
        <v>0</v>
      </c>
      <c r="CI47" s="34">
        <f t="shared" si="32"/>
        <v>0</v>
      </c>
      <c r="CJ47" s="34">
        <f t="shared" si="32"/>
        <v>0</v>
      </c>
      <c r="CK47" s="34">
        <f t="shared" si="32"/>
        <v>0</v>
      </c>
      <c r="CL47" s="34">
        <f t="shared" si="32"/>
        <v>0</v>
      </c>
      <c r="CM47" s="34">
        <f t="shared" si="32"/>
        <v>0</v>
      </c>
      <c r="CN47" s="34">
        <f t="shared" si="32"/>
        <v>0</v>
      </c>
      <c r="CO47" s="34">
        <f t="shared" si="32"/>
        <v>0</v>
      </c>
      <c r="CP47" s="34">
        <f t="shared" si="32"/>
        <v>0</v>
      </c>
      <c r="CQ47" s="34">
        <f t="shared" si="32"/>
        <v>0</v>
      </c>
      <c r="CR47" s="34">
        <f t="shared" si="32"/>
        <v>0</v>
      </c>
      <c r="CS47" s="34">
        <f t="shared" si="32"/>
        <v>0</v>
      </c>
      <c r="CT47" s="34">
        <f t="shared" si="32"/>
        <v>0</v>
      </c>
      <c r="CU47" s="34">
        <f t="shared" si="32"/>
        <v>0</v>
      </c>
      <c r="CV47" s="34">
        <f t="shared" si="32"/>
        <v>0</v>
      </c>
      <c r="CW47" s="34">
        <f t="shared" si="32"/>
        <v>0</v>
      </c>
      <c r="CX47" s="34">
        <f t="shared" si="32"/>
        <v>0</v>
      </c>
      <c r="CY47" s="34">
        <f t="shared" si="32"/>
        <v>0</v>
      </c>
      <c r="CZ47" s="34">
        <f t="shared" si="32"/>
        <v>0</v>
      </c>
      <c r="DA47" s="34">
        <f t="shared" si="32"/>
        <v>0</v>
      </c>
      <c r="DB47" s="34">
        <f t="shared" si="32"/>
        <v>0</v>
      </c>
      <c r="DC47" s="34">
        <f t="shared" si="32"/>
        <v>0</v>
      </c>
      <c r="DD47" s="34">
        <f t="shared" si="32"/>
        <v>0</v>
      </c>
    </row>
    <row r="48" spans="1:116" ht="70" customHeight="1">
      <c r="A48" s="873" t="str">
        <f>"Arbejdstid for "&amp;A13&amp;" måned:"</f>
        <v>Arbejdstid for Marts måned:</v>
      </c>
      <c r="B48" s="874"/>
      <c r="C48" s="874"/>
      <c r="D48" s="874"/>
      <c r="E48" s="874"/>
      <c r="F48" s="874"/>
      <c r="G48" s="874"/>
      <c r="H48" s="201" t="s">
        <v>126</v>
      </c>
      <c r="I48" s="923" t="s">
        <v>115</v>
      </c>
      <c r="J48" s="924"/>
      <c r="K48" s="150"/>
      <c r="L48" s="966" t="s">
        <v>187</v>
      </c>
      <c r="M48" s="967"/>
      <c r="N48" s="967"/>
      <c r="O48" s="967"/>
      <c r="P48" s="967"/>
      <c r="Q48" s="967"/>
      <c r="R48" s="967"/>
      <c r="S48" s="968"/>
      <c r="T48" s="598" t="s">
        <v>361</v>
      </c>
      <c r="U48" s="373" t="s">
        <v>257</v>
      </c>
      <c r="V48" s="303"/>
      <c r="W48" s="117"/>
      <c r="X48" s="130"/>
      <c r="Y48" s="130"/>
      <c r="Z48" s="130"/>
      <c r="AA48"/>
      <c r="AB48"/>
      <c r="AK48" s="56"/>
      <c r="AL48" s="56"/>
      <c r="BO48" s="117"/>
      <c r="BP48" s="117"/>
      <c r="BQ48" s="130"/>
      <c r="BR48" s="130"/>
      <c r="BS48"/>
      <c r="BT48"/>
      <c r="CB48" s="56"/>
      <c r="CC48" s="56"/>
    </row>
    <row r="49" spans="1:114" ht="24" customHeight="1">
      <c r="A49" s="875" t="s">
        <v>270</v>
      </c>
      <c r="B49" s="876"/>
      <c r="C49" s="876"/>
      <c r="D49" s="876"/>
      <c r="E49" s="876"/>
      <c r="F49" s="876"/>
      <c r="G49" s="876"/>
      <c r="H49" s="145">
        <f>D83-D81-A93-D80</f>
        <v>22</v>
      </c>
      <c r="I49" s="852">
        <f>J65</f>
        <v>0</v>
      </c>
      <c r="J49" s="853"/>
      <c r="K49" s="147"/>
      <c r="L49" s="970"/>
      <c r="M49" s="971"/>
      <c r="N49" s="971"/>
      <c r="O49" s="971"/>
      <c r="P49" s="971"/>
      <c r="Q49" s="971"/>
      <c r="R49" s="971"/>
      <c r="S49" s="971"/>
      <c r="T49" s="392">
        <f>Februar!T55</f>
        <v>0</v>
      </c>
      <c r="U49" s="393">
        <f>Februar!U55</f>
        <v>0</v>
      </c>
      <c r="V49" s="303"/>
      <c r="W49" s="130"/>
      <c r="X49" s="130"/>
      <c r="Y49" s="130"/>
      <c r="Z49" s="130"/>
      <c r="AA49"/>
      <c r="AB49"/>
      <c r="AK49" s="56"/>
      <c r="AL49" s="56"/>
      <c r="BO49" s="130"/>
      <c r="BP49" s="130"/>
      <c r="BQ49" s="130"/>
      <c r="BR49" s="130"/>
      <c r="BS49"/>
      <c r="BT49"/>
      <c r="CB49" s="56"/>
      <c r="CC49" s="56"/>
    </row>
    <row r="50" spans="1:114" ht="24" customHeight="1">
      <c r="A50" s="875" t="str">
        <f>"Ferie "&amp;A13&amp;" måned"</f>
        <v>Ferie Marts måned</v>
      </c>
      <c r="B50" s="876"/>
      <c r="C50" s="876"/>
      <c r="D50" s="876"/>
      <c r="E50" s="876"/>
      <c r="F50" s="876"/>
      <c r="G50" s="876"/>
      <c r="H50" s="146" t="str">
        <f>IF(D77&gt;0,$D$77,"0")</f>
        <v>0</v>
      </c>
      <c r="I50" s="961">
        <f>H50*7.4*Stamoplysninger!E21</f>
        <v>0</v>
      </c>
      <c r="J50" s="962"/>
      <c r="K50" s="147"/>
      <c r="L50" s="388" t="s">
        <v>190</v>
      </c>
      <c r="M50" s="389"/>
      <c r="N50" s="389"/>
      <c r="O50" s="389"/>
      <c r="P50" s="389"/>
      <c r="Q50" s="389"/>
      <c r="R50" s="389"/>
      <c r="S50" s="389"/>
      <c r="T50" s="592"/>
      <c r="U50" s="356"/>
      <c r="V50" s="303"/>
      <c r="W50" s="130"/>
      <c r="X50" s="130"/>
      <c r="Y50" s="130"/>
      <c r="Z50" s="130"/>
      <c r="AA50"/>
      <c r="AB50"/>
      <c r="AK50" s="56"/>
      <c r="AL50" s="56"/>
      <c r="BO50" s="130"/>
      <c r="BP50" s="130"/>
      <c r="BQ50" s="130"/>
      <c r="BR50" s="130"/>
      <c r="BS50"/>
      <c r="BT50"/>
      <c r="CB50" s="56"/>
      <c r="CC50" s="56"/>
    </row>
    <row r="51" spans="1:114" ht="24" customHeight="1">
      <c r="A51" s="875" t="str">
        <f>"Søgnehelligdage i "&amp;A13&amp;" måned"</f>
        <v>Søgnehelligdage i Marts måned</v>
      </c>
      <c r="B51" s="876"/>
      <c r="C51" s="876"/>
      <c r="D51" s="876"/>
      <c r="E51" s="876"/>
      <c r="F51" s="876"/>
      <c r="G51" s="876"/>
      <c r="H51" s="146">
        <f>IF(D82&gt;0,D82,0)</f>
        <v>0</v>
      </c>
      <c r="I51" s="961">
        <f>H51*7.4*Stamoplysninger!E21</f>
        <v>0</v>
      </c>
      <c r="J51" s="962"/>
      <c r="K51" s="225"/>
      <c r="L51" s="948" t="s">
        <v>363</v>
      </c>
      <c r="M51" s="949"/>
      <c r="N51" s="949"/>
      <c r="O51" s="949"/>
      <c r="P51" s="949"/>
      <c r="Q51" s="949"/>
      <c r="R51" s="949"/>
      <c r="S51" s="949"/>
      <c r="T51" s="949"/>
      <c r="U51" s="950"/>
      <c r="V51" s="303"/>
      <c r="W51" s="130"/>
      <c r="X51" s="130"/>
      <c r="Y51" s="130"/>
      <c r="Z51" s="130"/>
      <c r="AA51"/>
      <c r="AB51"/>
      <c r="AK51" s="56"/>
      <c r="AL51" s="56"/>
      <c r="BO51" s="130"/>
      <c r="BP51" s="130"/>
      <c r="BQ51" s="130"/>
      <c r="BR51" s="130"/>
      <c r="BS51"/>
      <c r="BT51"/>
      <c r="CB51" s="56"/>
      <c r="CC51" s="56"/>
    </row>
    <row r="52" spans="1:114" ht="24" customHeight="1">
      <c r="A52" s="875" t="str">
        <f>"Nettoarbejdstid ialt i "&amp;A13&amp;" måned"</f>
        <v>Nettoarbejdstid ialt i Marts måned</v>
      </c>
      <c r="B52" s="876"/>
      <c r="C52" s="876"/>
      <c r="D52" s="876"/>
      <c r="E52" s="876"/>
      <c r="F52" s="876"/>
      <c r="G52" s="876"/>
      <c r="H52" s="148">
        <f>H49-H50-H51</f>
        <v>22</v>
      </c>
      <c r="I52" s="961">
        <f>IF(Stamoplysninger!$E$18="Ikke omfattet af overenskomst - ansat med en fast årsnorm",Stamoplysninger!$E$20/228*H52*Stamoplysninger!$E$21,I49-I50-I51)</f>
        <v>0</v>
      </c>
      <c r="J52" s="962"/>
      <c r="K52" s="225"/>
      <c r="L52" s="375" t="s">
        <v>362</v>
      </c>
      <c r="M52" s="376" t="s">
        <v>201</v>
      </c>
      <c r="N52" s="954" t="s">
        <v>277</v>
      </c>
      <c r="O52" s="949"/>
      <c r="P52" s="949"/>
      <c r="Q52" s="949"/>
      <c r="R52" s="949"/>
      <c r="S52" s="955"/>
      <c r="T52" s="921" t="s">
        <v>188</v>
      </c>
      <c r="U52" s="922"/>
      <c r="V52" s="303"/>
      <c r="W52" s="130"/>
      <c r="X52" s="130"/>
      <c r="Y52" s="130"/>
      <c r="Z52" s="130"/>
      <c r="AA52"/>
      <c r="AB52"/>
      <c r="AK52" s="56"/>
      <c r="AL52" s="56"/>
      <c r="BO52" s="130"/>
      <c r="BP52" s="130"/>
      <c r="BQ52" s="130"/>
      <c r="BR52" s="130"/>
      <c r="BS52"/>
      <c r="BT52"/>
      <c r="CB52" s="56"/>
      <c r="CC52" s="56"/>
    </row>
    <row r="53" spans="1:114" ht="24" customHeight="1">
      <c r="A53" s="881" t="str">
        <f>"Planlagt arbejdstid efter ovennstående "&amp;A13&amp;" måned kalender"</f>
        <v>Planlagt arbejdstid efter ovennstående Marts måned kalender</v>
      </c>
      <c r="B53" s="882"/>
      <c r="C53" s="882"/>
      <c r="D53" s="882"/>
      <c r="E53" s="882"/>
      <c r="F53" s="882"/>
      <c r="G53" s="882"/>
      <c r="H53" s="281">
        <f>D60+D61+D62+D63+D66+D67+D74+D68+D69+D70+D71+D72+D73+D75+D76+D64+D65</f>
        <v>22</v>
      </c>
      <c r="I53" s="940">
        <f>K46+L46+M46-J60</f>
        <v>0</v>
      </c>
      <c r="J53" s="941"/>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883" t="str">
        <f>"Arbejde særligt planlagt for "&amp;A13&amp;" måned efter fanen normale uger"</f>
        <v>Arbejde særligt planlagt for Marts måned efter fanen normale uger</v>
      </c>
      <c r="B54" s="884"/>
      <c r="C54" s="884"/>
      <c r="D54" s="884"/>
      <c r="E54" s="884"/>
      <c r="F54" s="884"/>
      <c r="G54" s="884"/>
      <c r="H54" s="885"/>
      <c r="I54" s="942">
        <f>IF(I53=0,0,'Normal uger'!S98)</f>
        <v>0</v>
      </c>
      <c r="J54" s="943"/>
      <c r="K54" s="226"/>
      <c r="L54" s="372"/>
      <c r="M54" s="304"/>
      <c r="N54" s="956"/>
      <c r="O54" s="957"/>
      <c r="P54" s="957"/>
      <c r="Q54" s="957"/>
      <c r="R54" s="957"/>
      <c r="S54" s="958"/>
      <c r="T54" s="304"/>
      <c r="U54" s="371"/>
      <c r="V54" s="303"/>
      <c r="W54" s="130"/>
      <c r="X54" s="130"/>
      <c r="Y54" s="130"/>
      <c r="Z54" s="130"/>
      <c r="AA54"/>
      <c r="AB54"/>
      <c r="AK54" s="56"/>
      <c r="AL54" s="56"/>
      <c r="BO54" s="130"/>
      <c r="BP54" s="130"/>
      <c r="BQ54" s="130"/>
      <c r="BR54" s="130"/>
      <c r="BS54"/>
      <c r="BT54"/>
      <c r="CB54" s="56"/>
      <c r="CC54" s="56"/>
    </row>
    <row r="55" spans="1:114" ht="24" customHeight="1">
      <c r="A55" s="413" t="s">
        <v>273</v>
      </c>
      <c r="B55" s="414"/>
      <c r="C55" s="414"/>
      <c r="D55" s="414"/>
      <c r="E55" s="414"/>
      <c r="F55" s="414"/>
      <c r="G55" s="414"/>
      <c r="H55" s="415"/>
      <c r="I55" s="959" t="e">
        <f>IF(Arbejdstidsoversigt!$H$54="Puljetimer registreres i månedskalendere",O46-L60,SUM(Arbejdstidsoversigt!J34:J52)/Arbejdstidsoversigt!$G$20*H52)</f>
        <v>#DIV/0!</v>
      </c>
      <c r="J55" s="960"/>
      <c r="K55" s="226"/>
      <c r="L55" s="372"/>
      <c r="M55" s="304"/>
      <c r="N55" s="956"/>
      <c r="O55" s="957"/>
      <c r="P55" s="957"/>
      <c r="Q55" s="957"/>
      <c r="R55" s="957"/>
      <c r="S55" s="958"/>
      <c r="T55" s="353"/>
      <c r="U55" s="371"/>
      <c r="V55" s="406"/>
      <c r="W55" s="406"/>
      <c r="X55" s="303"/>
      <c r="Y55" s="130"/>
      <c r="Z55" s="130"/>
      <c r="AA55" s="130"/>
      <c r="AB55" s="130"/>
      <c r="AM55" s="56"/>
      <c r="AN55" s="56"/>
      <c r="BQ55" s="130"/>
      <c r="BR55" s="130"/>
      <c r="BS55" s="130"/>
      <c r="BT55" s="130"/>
      <c r="CD55" s="56"/>
      <c r="CE55" s="56"/>
    </row>
    <row r="56" spans="1:114" ht="24" customHeight="1">
      <c r="A56" s="877" t="s">
        <v>248</v>
      </c>
      <c r="B56" s="878"/>
      <c r="C56" s="878"/>
      <c r="D56" s="878"/>
      <c r="E56" s="878"/>
      <c r="F56" s="878"/>
      <c r="G56" s="878"/>
      <c r="H56" s="878"/>
      <c r="I56" s="944">
        <f>S46+U46+T46-P60-Q60-R60</f>
        <v>0</v>
      </c>
      <c r="J56" s="945"/>
      <c r="K56" s="227"/>
      <c r="L56" s="372"/>
      <c r="M56" s="304"/>
      <c r="N56" s="956"/>
      <c r="O56" s="957"/>
      <c r="P56" s="957"/>
      <c r="Q56" s="957"/>
      <c r="R56" s="957"/>
      <c r="S56" s="958"/>
      <c r="T56" s="304"/>
      <c r="U56" s="371"/>
      <c r="V56" s="303"/>
      <c r="W56" s="137"/>
      <c r="X56" s="130"/>
      <c r="Z56" s="130"/>
      <c r="AA56" s="130"/>
      <c r="AB56"/>
      <c r="AM56" s="56"/>
      <c r="AN56" s="56"/>
      <c r="BO56" s="137"/>
      <c r="BP56" s="137"/>
      <c r="BR56" s="130"/>
      <c r="BS56"/>
      <c r="BT56"/>
      <c r="CD56" s="56"/>
      <c r="CE56" s="56"/>
    </row>
    <row r="57" spans="1:114" ht="24" customHeight="1" thickBot="1">
      <c r="A57" s="149" t="str">
        <f>"Faktisk arbejdstid ialt i "&amp;A13&amp;" måned"</f>
        <v>Faktisk arbejdstid ialt i Marts måned</v>
      </c>
      <c r="B57" s="188"/>
      <c r="C57" s="189"/>
      <c r="D57" s="189"/>
      <c r="E57" s="189"/>
      <c r="F57" s="189"/>
      <c r="G57" s="189"/>
      <c r="H57" s="190"/>
      <c r="I57" s="946" t="e">
        <f>SUM(I53:J56)</f>
        <v>#DIV/0!</v>
      </c>
      <c r="J57" s="947"/>
      <c r="K57" s="131"/>
      <c r="L57" s="951" t="s">
        <v>189</v>
      </c>
      <c r="M57" s="952"/>
      <c r="N57" s="952"/>
      <c r="O57" s="952"/>
      <c r="P57" s="952"/>
      <c r="Q57" s="952"/>
      <c r="R57" s="952"/>
      <c r="S57" s="953"/>
      <c r="T57" s="387">
        <f>T49+T50-SUM(T53:T56)</f>
        <v>0</v>
      </c>
      <c r="U57" s="394">
        <f>U49+U50-SUM(U53:U56)</f>
        <v>0</v>
      </c>
      <c r="V57" s="303"/>
      <c r="W57" s="137"/>
      <c r="X57" s="130"/>
      <c r="Z57" s="130"/>
      <c r="AA57" s="130"/>
      <c r="AB57"/>
      <c r="AL57" s="56"/>
      <c r="AM57" s="56"/>
      <c r="BG57" s="56"/>
      <c r="BH57" s="56"/>
      <c r="BO57" s="137"/>
      <c r="BP57" s="137"/>
      <c r="BR57" s="130"/>
      <c r="BS57"/>
      <c r="BT57"/>
      <c r="CC57" s="56"/>
      <c r="CD57" s="56"/>
    </row>
    <row r="58" spans="1:114" hidden="1">
      <c r="A58" s="144"/>
      <c r="B58" s="144"/>
      <c r="C58" s="144"/>
      <c r="D58" s="144"/>
      <c r="E58" s="144"/>
      <c r="F58" s="144"/>
      <c r="G58" s="144"/>
      <c r="H58" s="144"/>
      <c r="I58" s="302"/>
      <c r="J58" s="302"/>
      <c r="K58" s="302"/>
      <c r="L58" s="290"/>
      <c r="M58" s="252"/>
      <c r="N58" s="252"/>
      <c r="O58" s="252"/>
      <c r="P58" s="252"/>
      <c r="Q58" s="252"/>
      <c r="R58" s="205"/>
      <c r="S58" s="253"/>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6"/>
      <c r="B59" s="286"/>
      <c r="C59" s="286"/>
      <c r="D59" s="286"/>
      <c r="E59" s="286"/>
      <c r="F59" s="286"/>
      <c r="G59" s="286"/>
      <c r="H59" s="287"/>
      <c r="I59" s="288"/>
      <c r="K59" s="286"/>
      <c r="L59" s="289"/>
      <c r="M59" s="279"/>
      <c r="N59" s="252"/>
      <c r="O59" s="252"/>
      <c r="P59" s="279"/>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295" t="s">
        <v>217</v>
      </c>
      <c r="B60" s="295"/>
      <c r="C60" s="295"/>
      <c r="D60" s="295">
        <f>COUNTIF([0]!Marts1,"Normal uge 1")</f>
        <v>22</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 t="shared" ref="R60" si="33">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204</v>
      </c>
      <c r="B61" s="969"/>
      <c r="C61" s="969"/>
      <c r="D61" s="295">
        <f>COUNTIF([0]!Marts1,"Normal uge 2")</f>
        <v>0</v>
      </c>
      <c r="E61" s="296"/>
      <c r="F61" s="295"/>
      <c r="G61" s="295" t="s">
        <v>489</v>
      </c>
      <c r="H61" s="852">
        <f>IF(AND(Stamoplysninger!$E$18="BUPL/FOA",Stamoplysninger!$E$19="Ja"),1924/Arbejdstidsoversigt!$K$13*Stamoplysninger!$E$21*$H$49,H49*7.4*Stamoplysninger!$E$21)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205</v>
      </c>
      <c r="B62" s="969"/>
      <c r="C62" s="969"/>
      <c r="D62" s="295">
        <f>COUNTIF([0]!Marts1,"Normal uge 3")</f>
        <v>0</v>
      </c>
      <c r="E62" s="296"/>
      <c r="F62" s="295"/>
      <c r="G62" s="295" t="s">
        <v>212</v>
      </c>
      <c r="H62" s="852">
        <f>IF(AND(Stamoplysninger!$E$18="HK",Stamoplysninger!$E$19="Ja"),1924/Arbejdstidsoversigt!$K$13*Stamoplysninger!$E$21*$H$49,$H$49*7.4*Stamoplysninger!$E$21)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69" t="s">
        <v>206</v>
      </c>
      <c r="B63" s="969"/>
      <c r="C63" s="969"/>
      <c r="D63" s="295">
        <f>COUNTIF([0]!Marts1,"Normal uge 4")</f>
        <v>0</v>
      </c>
      <c r="E63" s="296"/>
      <c r="F63" s="295"/>
      <c r="G63" s="295" t="s">
        <v>213</v>
      </c>
      <c r="H63" s="288">
        <f>IF(Stamoplysninger!$E$18="3F",7.4*Stamoplysninger!$E$21*$H$49,0)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0" t="s">
        <v>406</v>
      </c>
      <c r="B64" s="650"/>
      <c r="C64" s="650"/>
      <c r="D64" s="295">
        <f>COUNTIF([0]!Marts1,"Normal uge 5")</f>
        <v>0</v>
      </c>
      <c r="E64" s="296"/>
      <c r="F64" s="295"/>
      <c r="G64" s="295" t="s">
        <v>498</v>
      </c>
      <c r="H64" s="288">
        <f>IF(Stamoplysninger!$E$18="Ikke omfattet af overenskomst - ansat med en variabel årsnorm",7.4*Stamoplysninger!$E$21*$H$49,0)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52" t="s">
        <v>407</v>
      </c>
      <c r="B65" s="652"/>
      <c r="C65" s="652"/>
      <c r="D65" s="295">
        <f>COUNTIF([0]!Marts1,"Normal uge 6")</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295" t="s">
        <v>228</v>
      </c>
      <c r="B66" s="295"/>
      <c r="C66" s="295"/>
      <c r="D66" s="295">
        <f>COUNTIF([0]!Marts1,"Anderledes dag")</f>
        <v>0</v>
      </c>
      <c r="E66" s="296"/>
      <c r="F66" s="295"/>
      <c r="G66" s="295"/>
      <c r="H66" s="288"/>
      <c r="I66" s="292"/>
      <c r="J66" s="289"/>
      <c r="K66" s="291"/>
      <c r="L66" s="292"/>
      <c r="M66" s="280"/>
      <c r="N66" s="280"/>
      <c r="O66" s="280"/>
      <c r="P66" s="280"/>
      <c r="AA66"/>
      <c r="AB66"/>
      <c r="AW66" s="1"/>
      <c r="BG66" s="1"/>
      <c r="BR66" s="63"/>
      <c r="BS66"/>
      <c r="BT66"/>
      <c r="CN66" s="1"/>
      <c r="CX66" s="1"/>
      <c r="DG66" s="138"/>
    </row>
    <row r="67" spans="1:114" hidden="1">
      <c r="A67" s="297" t="s">
        <v>370</v>
      </c>
      <c r="B67" s="295"/>
      <c r="C67" s="295"/>
      <c r="D67" s="295">
        <f>COUNTIF([0]!Marts1,"Ferieåbning")</f>
        <v>0</v>
      </c>
      <c r="E67" s="296"/>
      <c r="F67" s="295"/>
      <c r="G67" s="295"/>
      <c r="H67" s="288"/>
      <c r="I67" s="292"/>
      <c r="J67" s="292"/>
      <c r="K67" s="292"/>
      <c r="L67" s="292"/>
      <c r="M67" s="280"/>
      <c r="N67" s="280"/>
      <c r="O67" s="280"/>
      <c r="P67" s="280"/>
      <c r="AA67"/>
      <c r="AB67"/>
      <c r="AW67" s="1"/>
      <c r="BG67" s="1"/>
      <c r="BR67" s="63"/>
      <c r="BS67"/>
      <c r="BT67"/>
      <c r="CN67" s="1"/>
      <c r="CX67" s="1"/>
      <c r="DG67" s="138"/>
    </row>
    <row r="68" spans="1:114" hidden="1">
      <c r="A68" s="297" t="s">
        <v>218</v>
      </c>
      <c r="B68" s="295"/>
      <c r="C68" s="295"/>
      <c r="D68" s="295">
        <f>COUNTIF([0]!Marts1,"Rul 1")</f>
        <v>0</v>
      </c>
      <c r="E68" s="296"/>
      <c r="F68" s="295"/>
      <c r="G68" s="295"/>
      <c r="H68" s="288"/>
      <c r="I68" s="292"/>
      <c r="J68" s="292"/>
      <c r="K68" s="292"/>
      <c r="L68" s="292"/>
      <c r="M68" s="252"/>
      <c r="N68" s="280"/>
      <c r="O68" s="280"/>
      <c r="P68" s="252"/>
      <c r="AA68"/>
      <c r="AB68"/>
      <c r="AW68" s="1"/>
      <c r="BG68" s="1"/>
      <c r="BR68" s="63"/>
      <c r="BS68"/>
      <c r="BT68"/>
      <c r="CN68" s="1"/>
      <c r="CX68" s="1"/>
      <c r="DG68" s="138"/>
    </row>
    <row r="69" spans="1:114" hidden="1">
      <c r="A69" s="297" t="s">
        <v>219</v>
      </c>
      <c r="B69" s="295"/>
      <c r="C69" s="295"/>
      <c r="D69" s="295">
        <f>COUNTIF([0]!Marts1,"Rul 2")</f>
        <v>0</v>
      </c>
      <c r="E69" s="296"/>
      <c r="F69" s="295"/>
      <c r="G69" s="295"/>
      <c r="H69" s="288"/>
      <c r="I69" s="292"/>
      <c r="J69" s="292"/>
      <c r="K69" s="292"/>
      <c r="L69" s="292"/>
      <c r="N69" s="252"/>
      <c r="O69" s="252"/>
      <c r="AA69"/>
      <c r="AB69"/>
      <c r="AW69" s="1"/>
      <c r="BG69" s="1"/>
      <c r="BR69" s="63"/>
      <c r="BS69"/>
      <c r="BT69"/>
      <c r="CN69" s="1"/>
      <c r="CX69" s="1"/>
      <c r="DG69" s="138"/>
    </row>
    <row r="70" spans="1:114" hidden="1">
      <c r="A70" s="297" t="s">
        <v>220</v>
      </c>
      <c r="B70" s="295"/>
      <c r="C70" s="295"/>
      <c r="D70" s="295">
        <f>COUNTIF([0]!Marts1,"Rul 3")</f>
        <v>0</v>
      </c>
      <c r="E70" s="296"/>
      <c r="F70" s="295"/>
      <c r="G70" s="295"/>
      <c r="H70" s="288"/>
      <c r="I70" s="292"/>
      <c r="J70" s="292"/>
      <c r="K70" s="292"/>
      <c r="L70" s="292"/>
      <c r="P70" s="288"/>
      <c r="AA70"/>
      <c r="AB70"/>
      <c r="AW70" s="1"/>
      <c r="BG70" s="1"/>
      <c r="BR70" s="63"/>
      <c r="BS70"/>
      <c r="BT70"/>
      <c r="CN70" s="1"/>
      <c r="CX70" s="1"/>
      <c r="DG70" s="138"/>
    </row>
    <row r="71" spans="1:114" hidden="1">
      <c r="A71" s="297" t="s">
        <v>221</v>
      </c>
      <c r="B71" s="295"/>
      <c r="C71" s="295"/>
      <c r="D71" s="295">
        <f>COUNTIF([0]!Marts1,"Rul 4")</f>
        <v>0</v>
      </c>
      <c r="E71" s="296"/>
      <c r="F71" s="295"/>
      <c r="G71" s="295"/>
      <c r="H71" s="288"/>
      <c r="I71" s="292"/>
      <c r="J71" s="292"/>
      <c r="K71" s="292"/>
      <c r="L71" s="292"/>
      <c r="AA71"/>
      <c r="AB71"/>
      <c r="AW71" s="1"/>
      <c r="BG71" s="1"/>
      <c r="BS71"/>
      <c r="BT71"/>
      <c r="CN71" s="1"/>
      <c r="CX71" s="1"/>
      <c r="DG71" s="138"/>
    </row>
    <row r="72" spans="1:114" hidden="1">
      <c r="A72" s="297" t="s">
        <v>222</v>
      </c>
      <c r="B72" s="295"/>
      <c r="C72" s="295"/>
      <c r="D72" s="295">
        <f>COUNTIF([0]!Marts1,"Rul 5")</f>
        <v>0</v>
      </c>
      <c r="E72" s="296"/>
      <c r="F72" s="295"/>
      <c r="G72" s="295"/>
      <c r="H72" s="288"/>
      <c r="I72" s="292"/>
      <c r="J72" s="292"/>
      <c r="K72" s="292"/>
      <c r="L72" s="292"/>
      <c r="AA72"/>
      <c r="AB72"/>
      <c r="AW72" s="1"/>
      <c r="BG72" s="1"/>
      <c r="BS72"/>
      <c r="BT72"/>
      <c r="CN72" s="1"/>
      <c r="CX72" s="1"/>
      <c r="DG72" s="138"/>
    </row>
    <row r="73" spans="1:114" hidden="1">
      <c r="A73" s="297" t="s">
        <v>223</v>
      </c>
      <c r="B73" s="295"/>
      <c r="C73" s="295"/>
      <c r="D73" s="295">
        <f>COUNTIF([0]!Marts1,"Rul 6")</f>
        <v>0</v>
      </c>
      <c r="E73" s="296"/>
      <c r="F73" s="298"/>
      <c r="G73" s="298"/>
      <c r="H73" s="294"/>
      <c r="I73" s="292"/>
      <c r="J73" s="292"/>
      <c r="K73" s="292"/>
      <c r="L73" s="292"/>
      <c r="AA73"/>
      <c r="AB73"/>
      <c r="AW73" s="1"/>
      <c r="BG73" s="1"/>
      <c r="BS73"/>
      <c r="BT73"/>
      <c r="CN73" s="1"/>
      <c r="CX73" s="1"/>
      <c r="DG73" s="138"/>
    </row>
    <row r="74" spans="1:114" hidden="1">
      <c r="A74" s="295" t="s">
        <v>83</v>
      </c>
      <c r="B74" s="295"/>
      <c r="C74" s="295"/>
      <c r="D74" s="295">
        <f>COUNTIF([0]!Marts1,"Pæd.dag")</f>
        <v>0</v>
      </c>
      <c r="E74" s="296"/>
      <c r="F74" s="295"/>
      <c r="G74" s="295"/>
      <c r="H74" s="288"/>
      <c r="I74" s="292"/>
      <c r="J74" s="292"/>
      <c r="K74" s="292"/>
      <c r="L74" s="291"/>
      <c r="AA74"/>
      <c r="AB74"/>
      <c r="AW74" s="1"/>
      <c r="BG74" s="1"/>
      <c r="BS74"/>
      <c r="BT74"/>
      <c r="CN74" s="1"/>
      <c r="CX74" s="1"/>
      <c r="DG74" s="138"/>
    </row>
    <row r="75" spans="1:114" hidden="1">
      <c r="A75" s="295" t="s">
        <v>227</v>
      </c>
      <c r="B75" s="295"/>
      <c r="C75" s="295"/>
      <c r="D75" s="295">
        <f>COUNTIF([0]!Marts1,"Koloni")</f>
        <v>0</v>
      </c>
      <c r="E75" s="296"/>
      <c r="F75" s="295"/>
      <c r="G75" s="295"/>
      <c r="H75" s="288"/>
      <c r="I75" s="292"/>
      <c r="J75" s="292"/>
      <c r="K75" s="292"/>
      <c r="L75" s="291"/>
      <c r="AA75"/>
      <c r="AB75"/>
      <c r="AW75" s="1"/>
      <c r="BG75" s="1"/>
      <c r="BS75"/>
      <c r="BT75"/>
      <c r="CN75" s="1"/>
      <c r="CX75" s="1"/>
      <c r="DG75" s="138"/>
    </row>
    <row r="76" spans="1:114" hidden="1">
      <c r="A76" s="295" t="s">
        <v>82</v>
      </c>
      <c r="B76" s="295"/>
      <c r="C76" s="295"/>
      <c r="D76" s="295">
        <f>COUNTIF([0]!Marts1,"Ekskursion")</f>
        <v>0</v>
      </c>
      <c r="E76" s="296"/>
      <c r="F76" s="295"/>
      <c r="G76" s="295"/>
      <c r="H76" s="288"/>
      <c r="I76" s="292"/>
      <c r="J76" s="292"/>
      <c r="K76" s="292"/>
      <c r="L76" s="291"/>
      <c r="AA76"/>
      <c r="AB76"/>
      <c r="AW76" s="1"/>
      <c r="BG76" s="1"/>
      <c r="BS76"/>
      <c r="BT76"/>
      <c r="CN76" s="1"/>
      <c r="CX76" s="1"/>
      <c r="DG76" s="138"/>
    </row>
    <row r="77" spans="1:114" hidden="1">
      <c r="A77" s="295" t="s">
        <v>109</v>
      </c>
      <c r="B77" s="295"/>
      <c r="C77" s="295"/>
      <c r="D77" s="295">
        <f>COUNTIF([0]!Marts1,"Feriedag")</f>
        <v>0</v>
      </c>
      <c r="E77" s="295"/>
      <c r="F77" s="295"/>
      <c r="G77" s="295"/>
      <c r="H77" s="288"/>
      <c r="I77" s="292"/>
      <c r="J77" s="292"/>
      <c r="K77" s="292"/>
      <c r="L77" s="291"/>
      <c r="AA77"/>
      <c r="AB77"/>
      <c r="AW77" s="1"/>
      <c r="BG77" s="1"/>
      <c r="BS77"/>
      <c r="BT77"/>
      <c r="CN77" s="1"/>
      <c r="CX77" s="1"/>
      <c r="DG77" s="138"/>
    </row>
    <row r="78" spans="1:114" hidden="1">
      <c r="A78" s="295" t="s">
        <v>78</v>
      </c>
      <c r="B78" s="295"/>
      <c r="C78" s="295"/>
      <c r="D78" s="295">
        <f>COUNTIF([0]!Marts1,"Nul-dag")</f>
        <v>0</v>
      </c>
      <c r="E78" s="299"/>
      <c r="F78" s="295"/>
      <c r="G78" s="295"/>
      <c r="H78" s="288"/>
      <c r="I78" s="292"/>
      <c r="J78" s="292"/>
      <c r="K78" s="292"/>
      <c r="L78" s="291"/>
      <c r="AA78"/>
      <c r="AB78"/>
      <c r="AW78" s="1"/>
      <c r="BG78" s="1"/>
      <c r="BS78"/>
      <c r="BT78"/>
      <c r="CN78" s="1"/>
      <c r="CX78" s="1"/>
      <c r="DG78" s="138"/>
    </row>
    <row r="79" spans="1:114" hidden="1">
      <c r="A79" s="295" t="s">
        <v>176</v>
      </c>
      <c r="B79" s="295"/>
      <c r="C79" s="295"/>
      <c r="D79" s="295">
        <f>COUNTIF([0]!Marts1,"Orlov")</f>
        <v>0</v>
      </c>
      <c r="E79" s="295"/>
      <c r="F79" s="295"/>
      <c r="G79" s="295"/>
      <c r="H79" s="288"/>
      <c r="I79" s="288"/>
      <c r="J79" s="292"/>
      <c r="K79" s="292"/>
      <c r="L79" s="291"/>
      <c r="AA79"/>
      <c r="AB79"/>
      <c r="AW79" s="1"/>
      <c r="BG79" s="1"/>
      <c r="BS79"/>
      <c r="BT79"/>
      <c r="CN79" s="1"/>
      <c r="CX79" s="1"/>
      <c r="DG79" s="138"/>
    </row>
    <row r="80" spans="1:114" hidden="1">
      <c r="A80" s="295" t="s">
        <v>98</v>
      </c>
      <c r="B80" s="295"/>
      <c r="C80" s="295"/>
      <c r="D80" s="295">
        <f>COUNTIF([0]!Marts1,"Ikke relevant")</f>
        <v>0</v>
      </c>
      <c r="E80" s="295"/>
      <c r="F80" s="295"/>
      <c r="G80" s="295"/>
      <c r="H80" s="288"/>
      <c r="I80" s="288"/>
      <c r="J80" s="291"/>
      <c r="K80" s="291"/>
      <c r="L80" s="291"/>
      <c r="AA80"/>
      <c r="AB80"/>
      <c r="AW80" s="1"/>
      <c r="BG80" s="1"/>
      <c r="BS80"/>
      <c r="BT80"/>
      <c r="CN80" s="1"/>
      <c r="CX80" s="1"/>
      <c r="DG80" s="138"/>
    </row>
    <row r="81" spans="1:114" hidden="1">
      <c r="A81" s="295" t="s">
        <v>77</v>
      </c>
      <c r="B81" s="295"/>
      <c r="C81" s="295"/>
      <c r="D81" s="295">
        <f>COUNTIF([0]!Marts1,"Weekend")</f>
        <v>9</v>
      </c>
      <c r="E81" s="295"/>
      <c r="F81" s="295"/>
      <c r="G81" s="295"/>
      <c r="H81" s="288"/>
      <c r="I81" s="288"/>
      <c r="J81" s="291"/>
      <c r="K81" s="291"/>
      <c r="L81" s="291"/>
      <c r="AA81"/>
      <c r="AB81"/>
      <c r="AW81" s="1"/>
      <c r="BG81" s="1">
        <f>SUM(Z87:BF87)</f>
        <v>0</v>
      </c>
      <c r="BS81"/>
      <c r="BT81"/>
      <c r="CN81" s="1"/>
      <c r="CX81" s="1"/>
      <c r="DG81" s="138"/>
    </row>
    <row r="82" spans="1:114" hidden="1">
      <c r="A82" s="293" t="s">
        <v>76</v>
      </c>
      <c r="B82" s="295"/>
      <c r="C82" s="295"/>
      <c r="D82" s="295">
        <f>COUNTIF([0]!Marts1,"SH-dag")</f>
        <v>0</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73</v>
      </c>
      <c r="B83" s="295"/>
      <c r="C83" s="295"/>
      <c r="D83" s="295">
        <f>SUM(D60:D82)</f>
        <v>31</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t="s">
        <v>122</v>
      </c>
      <c r="B84" s="295"/>
      <c r="C84" s="295"/>
      <c r="D84" s="295">
        <f>D83-D77-A93-D81-D82</f>
        <v>22</v>
      </c>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291"/>
      <c r="AA85"/>
      <c r="AB85"/>
      <c r="AW85" s="1">
        <f>SUM(P85:AV85)</f>
        <v>0</v>
      </c>
      <c r="BS85"/>
      <c r="BT85"/>
      <c r="CN85" s="1">
        <f>SUM(AV85:CM85)</f>
        <v>0</v>
      </c>
      <c r="CX85" s="1">
        <f>SUM(BQ90:CW90)</f>
        <v>0</v>
      </c>
      <c r="DG85" s="138"/>
    </row>
    <row r="86" spans="1:114" hidden="1">
      <c r="A86" s="295"/>
      <c r="B86" s="295"/>
      <c r="C86" s="295"/>
      <c r="D86" s="295"/>
      <c r="E86" s="295"/>
      <c r="F86" s="295"/>
      <c r="G86" s="295"/>
      <c r="H86" s="288"/>
      <c r="I86" s="288"/>
      <c r="J86" s="291"/>
      <c r="K86" s="291"/>
      <c r="L86" s="33"/>
      <c r="AA86"/>
      <c r="AB86"/>
      <c r="BS86"/>
      <c r="BT86"/>
      <c r="DG86" s="138"/>
    </row>
    <row r="87" spans="1:114" hidden="1">
      <c r="A87" s="295" t="s">
        <v>138</v>
      </c>
      <c r="B87" s="295"/>
      <c r="C87" s="295"/>
      <c r="D87" s="295"/>
      <c r="E87" s="295"/>
      <c r="F87" s="295"/>
      <c r="G87" s="295"/>
      <c r="H87" s="291"/>
      <c r="I87" s="288"/>
      <c r="J87" s="291"/>
      <c r="K87" s="291"/>
      <c r="L87" s="33"/>
      <c r="AA87"/>
      <c r="AB87"/>
      <c r="BS87"/>
      <c r="BT87"/>
      <c r="DG87" s="138"/>
    </row>
    <row r="88" spans="1:114" hidden="1">
      <c r="A88" s="295">
        <f>COUNTIF(C15,"Normal uge 1")+COUNTIF(C15,"Normal uge 2")+COUNTIF(C15,"Normal uge 3")+COUNTIF(C15,"Normal uge 4")+COUNTIF(C15,"Anderledes dag")+COUNTIF(C15,"Feriepasningsdag")+COUNTIF(C15,"Koloni")+COUNTIF(C15,"Ekskursion")+COUNTIF(C15,"Pæd.dag")</f>
        <v>0</v>
      </c>
      <c r="B88" s="295"/>
      <c r="C88" s="295"/>
      <c r="D88" s="295"/>
      <c r="E88" s="295"/>
      <c r="F88" s="295"/>
      <c r="G88" s="295"/>
      <c r="H88" s="291"/>
      <c r="I88" s="291"/>
      <c r="J88" s="291"/>
      <c r="K88" s="291"/>
      <c r="L88" s="33"/>
      <c r="AA88"/>
      <c r="AB88"/>
      <c r="BS88"/>
      <c r="BT88"/>
      <c r="DG88" s="138"/>
    </row>
    <row r="89" spans="1:114" hidden="1">
      <c r="A89" s="295">
        <f>COUNTIF(C21:C22,"Normal uge 1")+COUNTIF(C21:C22,"Normal uge 2")+COUNTIF(C21:C22,"Normal uge 3")+COUNTIF(C21:C22,"Normal uge 4")+COUNTIF(C21:C22,"Anderledes dag")+COUNTIF(C21:C22,"Feriepasningsdag")+COUNTIF(C21:C22,"Pæd.dag")+COUNTIF(C21:C22,"Ekskursion")+COUNTIF(C21:C22,"Koloni")</f>
        <v>0</v>
      </c>
      <c r="B89" s="295"/>
      <c r="C89" s="295"/>
      <c r="D89" s="295"/>
      <c r="E89" s="295"/>
      <c r="F89" s="295"/>
      <c r="G89" s="295"/>
      <c r="H89" s="291"/>
      <c r="I89" s="33"/>
      <c r="J89" s="291"/>
      <c r="K89" s="291"/>
      <c r="L89" s="33"/>
      <c r="AA89"/>
      <c r="AB89"/>
      <c r="BS89"/>
      <c r="BT89"/>
      <c r="DG89" s="138"/>
    </row>
    <row r="90" spans="1:114" hidden="1">
      <c r="A90" s="295">
        <f>COUNTIF(C28:C29,"Normal uge 1")+COUNTIF(C28:C29,"Normal uge 2")+COUNTIF(C28:C29,"Normal uge 3")+COUNTIF(C28:C29,"Normal uge 4")+COUNTIF(C28:C29,"Anderledes dag")+COUNTIF(C28:C29,"Feriepasningsdag")+COUNTIF(C28:C29,"Koloni")+COUNTIF(C28:C29,"Ekskursion")+COUNTIF(C28:C29,"Pæd.dag")</f>
        <v>0</v>
      </c>
      <c r="B90" s="295"/>
      <c r="C90" s="295"/>
      <c r="D90" s="295"/>
      <c r="E90" s="288"/>
      <c r="F90" s="288"/>
      <c r="G90" s="288"/>
      <c r="H90" s="291"/>
      <c r="I90" s="33"/>
      <c r="J90" s="33"/>
      <c r="K90" s="33"/>
      <c r="L90" s="33"/>
      <c r="AA90"/>
      <c r="AB90"/>
      <c r="BS90"/>
      <c r="BT90"/>
      <c r="DG90" s="138"/>
    </row>
    <row r="91" spans="1:114" hidden="1">
      <c r="A91" s="295">
        <f>COUNTIF(C35:C36,"Normal uge 1")+COUNTIF(C35:C36,"Normal uge 2")+COUNTIF(C35:C36,"Normal uge 3")+COUNTIF(C35:C36,"Normal uge 4")+COUNTIF(C35:C36,"Anderledes dag")+COUNTIF(C35:C36,"Feriepasningsdag")+COUNTIF(C35:C36,"Koloni")+COUNTIF(C35:C36,"Ekskursion")+COUNTIF(C35:C36,"Pæd.dag")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f>COUNTIF(C42:C43,"Normal uge 1")+COUNTIF(C42:C43,"Normal uge 2")+COUNTIF(C42:C43,"Normal uge 3")+COUNTIF(C42:C43,"Normal uge 4")+COUNTIF(C42:C43,"Anderledes dag")+COUNTIF(C42:C43,"Feriepasningsdag")+COUNTIF(C42:C43,"Koloni")+COUNTIF(C42:C43,"Ekskursion")+COUNTIF(C42:C43,"Pæd.dag")</f>
        <v>0</v>
      </c>
      <c r="B92" s="295"/>
      <c r="C92" s="295"/>
      <c r="D92" s="295"/>
      <c r="E92" s="288"/>
      <c r="F92" s="288"/>
      <c r="G92" s="288"/>
      <c r="H92" s="291"/>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5">
        <f>SUM(A88:A92)</f>
        <v>0</v>
      </c>
      <c r="B93" s="295"/>
      <c r="C93" s="295"/>
      <c r="D93" s="295"/>
      <c r="E93" s="68"/>
      <c r="F93" s="68"/>
      <c r="G93" s="68"/>
      <c r="H93" s="33"/>
      <c r="I93" s="33"/>
      <c r="J93" s="33"/>
      <c r="K93" s="33"/>
      <c r="L93" s="33"/>
    </row>
    <row r="94" spans="1:114" hidden="1">
      <c r="A94" s="300"/>
      <c r="B94" s="300"/>
      <c r="C94" s="300"/>
      <c r="D94" s="300"/>
      <c r="E94" s="68"/>
      <c r="F94" s="68"/>
      <c r="G94" s="68"/>
      <c r="H94" s="33"/>
      <c r="I94" s="33"/>
      <c r="J94" s="33"/>
      <c r="K94" s="33"/>
      <c r="L94" s="33"/>
    </row>
    <row r="95" spans="1:114" hidden="1">
      <c r="A95" s="33"/>
      <c r="B95" s="33"/>
      <c r="C95" s="33"/>
      <c r="D95" s="33"/>
      <c r="E95" s="260"/>
      <c r="F95" s="260"/>
      <c r="G95" s="260"/>
      <c r="H95" s="260"/>
      <c r="I95" s="260"/>
      <c r="J95" s="260"/>
      <c r="K95" s="260"/>
      <c r="L95" s="260"/>
    </row>
    <row r="96" spans="1:114" hidden="1">
      <c r="A96" s="33"/>
      <c r="B96" s="33"/>
      <c r="C96" s="33"/>
      <c r="D96" s="33"/>
      <c r="E96" s="260"/>
      <c r="F96" s="260"/>
      <c r="G96" s="260"/>
      <c r="H96" s="260"/>
      <c r="I96" s="260"/>
      <c r="J96" s="260"/>
      <c r="K96" s="260"/>
      <c r="L96" s="260"/>
    </row>
    <row r="97" spans="1:12" hidden="1">
      <c r="A97" s="33"/>
      <c r="B97" s="33"/>
      <c r="C97" s="33"/>
      <c r="D97" s="33"/>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hidden="1">
      <c r="A116" s="260"/>
      <c r="B116" s="260"/>
      <c r="C116" s="260"/>
      <c r="D116" s="260"/>
      <c r="E116" s="260"/>
      <c r="F116" s="260"/>
      <c r="G116" s="260"/>
      <c r="H116" s="260"/>
      <c r="I116" s="260"/>
      <c r="J116" s="260"/>
      <c r="K116" s="260"/>
      <c r="L116" s="260"/>
    </row>
    <row r="117" spans="1:12" hidden="1">
      <c r="A117" s="260"/>
      <c r="B117" s="260"/>
      <c r="C117" s="260"/>
      <c r="D117" s="260"/>
      <c r="E117" s="260"/>
      <c r="F117" s="260"/>
      <c r="G117" s="260"/>
      <c r="H117" s="260"/>
      <c r="I117" s="260"/>
      <c r="J117" s="260"/>
      <c r="K117" s="260"/>
      <c r="L117" s="260"/>
    </row>
    <row r="118" spans="1:12" hidden="1">
      <c r="A118" s="260"/>
      <c r="B118" s="260"/>
      <c r="C118" s="260"/>
      <c r="D118" s="260"/>
      <c r="E118" s="260"/>
      <c r="F118" s="260"/>
      <c r="G118" s="260"/>
      <c r="H118" s="260"/>
      <c r="I118" s="260"/>
      <c r="J118" s="260"/>
      <c r="K118" s="260"/>
      <c r="L118" s="260"/>
    </row>
    <row r="119" spans="1:12" hidden="1">
      <c r="A119" s="260"/>
      <c r="B119" s="260"/>
      <c r="C119" s="260"/>
      <c r="D119" s="260"/>
      <c r="E119" s="260"/>
      <c r="F119" s="260"/>
      <c r="G119" s="260"/>
      <c r="H119" s="260"/>
      <c r="I119" s="260"/>
      <c r="J119" s="260"/>
      <c r="K119" s="260"/>
      <c r="L119" s="260"/>
    </row>
    <row r="120" spans="1:12" hidden="1">
      <c r="A120" s="260"/>
      <c r="B120" s="260"/>
      <c r="C120" s="260"/>
      <c r="D120" s="260"/>
      <c r="E120" s="260"/>
      <c r="F120" s="260"/>
      <c r="G120" s="260"/>
      <c r="H120" s="260"/>
      <c r="I120" s="260"/>
      <c r="J120" s="260"/>
      <c r="K120" s="260"/>
      <c r="L120" s="260"/>
    </row>
    <row r="121" spans="1:12" hidden="1">
      <c r="A121" s="260"/>
      <c r="B121" s="260"/>
      <c r="C121" s="260"/>
      <c r="D121" s="260"/>
      <c r="E121" s="260"/>
      <c r="F121" s="260"/>
      <c r="G121" s="260"/>
      <c r="H121" s="260"/>
      <c r="I121" s="260"/>
      <c r="J121" s="260"/>
      <c r="K121" s="260"/>
    </row>
    <row r="122" spans="1:12" hidden="1">
      <c r="A122" s="260"/>
      <c r="B122" s="260"/>
      <c r="C122" s="260"/>
      <c r="D122" s="260"/>
      <c r="E122" s="260"/>
      <c r="F122" s="260"/>
      <c r="G122" s="260"/>
      <c r="H122" s="260"/>
      <c r="I122" s="260"/>
      <c r="J122" s="260"/>
      <c r="K122" s="260"/>
    </row>
    <row r="123" spans="1:12">
      <c r="A123" s="260"/>
      <c r="B123" s="260"/>
      <c r="C123" s="260"/>
      <c r="D123" s="260"/>
      <c r="I123" s="260"/>
      <c r="J123" s="260"/>
      <c r="K123" s="260"/>
    </row>
    <row r="124" spans="1:12">
      <c r="A124" s="260"/>
      <c r="B124" s="260"/>
      <c r="C124" s="260"/>
      <c r="D124" s="260"/>
      <c r="J124" s="260"/>
      <c r="K124" s="260"/>
    </row>
    <row r="125" spans="1:12">
      <c r="A125" s="260"/>
      <c r="B125" s="260"/>
      <c r="C125" s="260"/>
      <c r="D125" s="260"/>
    </row>
    <row r="126" spans="1:12">
      <c r="A126" s="260"/>
      <c r="B126" s="260"/>
      <c r="C126" s="260"/>
      <c r="D126" s="260"/>
    </row>
    <row r="127" spans="1:12">
      <c r="A127" s="260"/>
      <c r="B127" s="260"/>
      <c r="C127" s="260"/>
      <c r="D127" s="260"/>
    </row>
    <row r="128" spans="1:12">
      <c r="A128" s="260"/>
      <c r="B128" s="260"/>
      <c r="C128" s="260"/>
      <c r="D128" s="260"/>
    </row>
  </sheetData>
  <sheetProtection sheet="1" objects="1" scenarios="1"/>
  <mergeCells count="116">
    <mergeCell ref="A63:C63"/>
    <mergeCell ref="H62:I62"/>
    <mergeCell ref="L51:U51"/>
    <mergeCell ref="T52:U52"/>
    <mergeCell ref="I55:J55"/>
    <mergeCell ref="N53:S53"/>
    <mergeCell ref="N54:S54"/>
    <mergeCell ref="I57:J57"/>
    <mergeCell ref="L57:S57"/>
    <mergeCell ref="A61:C61"/>
    <mergeCell ref="A62:C62"/>
    <mergeCell ref="A53:G53"/>
    <mergeCell ref="I53:J53"/>
    <mergeCell ref="N52:S52"/>
    <mergeCell ref="A54:H54"/>
    <mergeCell ref="I54:J54"/>
    <mergeCell ref="A56:H56"/>
    <mergeCell ref="I56:J56"/>
    <mergeCell ref="N55:S55"/>
    <mergeCell ref="N56:S56"/>
    <mergeCell ref="A50:G50"/>
    <mergeCell ref="I50:J50"/>
    <mergeCell ref="A51:G51"/>
    <mergeCell ref="I51:J51"/>
    <mergeCell ref="E45:G45"/>
    <mergeCell ref="A48:G48"/>
    <mergeCell ref="I48:J48"/>
    <mergeCell ref="A52:G52"/>
    <mergeCell ref="I52:J52"/>
    <mergeCell ref="L48:S49"/>
    <mergeCell ref="A49:G49"/>
    <mergeCell ref="I49:J49"/>
    <mergeCell ref="E39:G39"/>
    <mergeCell ref="E40:G40"/>
    <mergeCell ref="E41:G41"/>
    <mergeCell ref="E42:G42"/>
    <mergeCell ref="E43:G43"/>
    <mergeCell ref="E44:G44"/>
    <mergeCell ref="E38:G38"/>
    <mergeCell ref="E27:G27"/>
    <mergeCell ref="E28:G28"/>
    <mergeCell ref="E29:G29"/>
    <mergeCell ref="E30:G30"/>
    <mergeCell ref="E31:G31"/>
    <mergeCell ref="E32:G32"/>
    <mergeCell ref="E33:G33"/>
    <mergeCell ref="E34:G34"/>
    <mergeCell ref="E35:G35"/>
    <mergeCell ref="E36:G36"/>
    <mergeCell ref="E37:G37"/>
    <mergeCell ref="E19:G19"/>
    <mergeCell ref="E20:G20"/>
    <mergeCell ref="E21:G21"/>
    <mergeCell ref="E22:G22"/>
    <mergeCell ref="E23:G23"/>
    <mergeCell ref="E24:G24"/>
    <mergeCell ref="E25:G25"/>
    <mergeCell ref="M12:M13"/>
    <mergeCell ref="P12:U12"/>
    <mergeCell ref="N14:O14"/>
    <mergeCell ref="X12:AI12"/>
    <mergeCell ref="AJ12:AN12"/>
    <mergeCell ref="AO12:AS12"/>
    <mergeCell ref="AT12:AX12"/>
    <mergeCell ref="AY12:BC12"/>
    <mergeCell ref="BP12:BZ12"/>
    <mergeCell ref="BD12:BH12"/>
    <mergeCell ref="BI12:BM12"/>
    <mergeCell ref="CU12:CY12"/>
    <mergeCell ref="CZ12:DD12"/>
    <mergeCell ref="A2:D3"/>
    <mergeCell ref="A9:U9"/>
    <mergeCell ref="A10:D10"/>
    <mergeCell ref="E10:G10"/>
    <mergeCell ref="I10:J10"/>
    <mergeCell ref="K10:L10"/>
    <mergeCell ref="N10:O10"/>
    <mergeCell ref="E2:Q3"/>
    <mergeCell ref="A11:M11"/>
    <mergeCell ref="P11:U11"/>
    <mergeCell ref="E12:G14"/>
    <mergeCell ref="I12:J12"/>
    <mergeCell ref="K12:K13"/>
    <mergeCell ref="L12:L13"/>
    <mergeCell ref="N11:O11"/>
    <mergeCell ref="CA12:CT12"/>
    <mergeCell ref="A13:D14"/>
    <mergeCell ref="H13:H14"/>
    <mergeCell ref="I14:M14"/>
    <mergeCell ref="P14:R14"/>
    <mergeCell ref="S14:U14"/>
    <mergeCell ref="N12:O12"/>
    <mergeCell ref="A4:H4"/>
    <mergeCell ref="A8:B8"/>
    <mergeCell ref="C8:D8"/>
    <mergeCell ref="E8:F8"/>
    <mergeCell ref="G8:H8"/>
    <mergeCell ref="H61:I61"/>
    <mergeCell ref="A6:B6"/>
    <mergeCell ref="C6:D6"/>
    <mergeCell ref="E6:F6"/>
    <mergeCell ref="G6:H6"/>
    <mergeCell ref="A7:B7"/>
    <mergeCell ref="C7:D7"/>
    <mergeCell ref="E7:F7"/>
    <mergeCell ref="G7:H7"/>
    <mergeCell ref="A5:B5"/>
    <mergeCell ref="C5:D5"/>
    <mergeCell ref="E5:F5"/>
    <mergeCell ref="G5:H5"/>
    <mergeCell ref="I5:J5"/>
    <mergeCell ref="E26:G26"/>
    <mergeCell ref="E15:G15"/>
    <mergeCell ref="E16:G16"/>
    <mergeCell ref="E17:G17"/>
    <mergeCell ref="E18:G18"/>
  </mergeCells>
  <phoneticPr fontId="4" type="noConversion"/>
  <conditionalFormatting sqref="A15:H15 D16:H37 A16:C45 D38:E38 H38 D39:H45">
    <cfRule type="expression" dxfId="1104" priority="27">
      <formula>OR($C15="Orlov")</formula>
    </cfRule>
    <cfRule type="expression" dxfId="1103" priority="2">
      <formula>OR($C15="Normal uge 6")</formula>
    </cfRule>
    <cfRule type="expression" dxfId="1102" priority="3" stopIfTrue="1">
      <formula>OR($C15="Normal uge 5")</formula>
    </cfRule>
    <cfRule type="expression" dxfId="1101" priority="41" stopIfTrue="1">
      <formula>OR($C15="Rul 2")</formula>
    </cfRule>
    <cfRule type="expression" dxfId="1100" priority="40">
      <formula>OR($C15="weekend")</formula>
    </cfRule>
    <cfRule type="expression" dxfId="1099" priority="39">
      <formula>OR($C15="feriedag")</formula>
    </cfRule>
    <cfRule type="expression" dxfId="1098" priority="38" stopIfTrue="1">
      <formula>OR($C15="Ferieåbning")</formula>
    </cfRule>
    <cfRule type="expression" dxfId="1097" priority="37">
      <formula>OR($C15="Anderledes dag")</formula>
    </cfRule>
    <cfRule type="expression" dxfId="1096" priority="36">
      <formula>OR($C15="Koloni")</formula>
    </cfRule>
    <cfRule type="expression" dxfId="1095" priority="35">
      <formula>OR($C15="ekskursion")</formula>
    </cfRule>
    <cfRule type="expression" dxfId="1094" priority="34">
      <formula>OR($C15="SH-dag")</formula>
    </cfRule>
    <cfRule type="expression" dxfId="1093" priority="33">
      <formula>OR($C15="nul-dag")</formula>
    </cfRule>
    <cfRule type="expression" dxfId="1092" priority="16" stopIfTrue="1">
      <formula>OR($C15="Rul 6")</formula>
    </cfRule>
    <cfRule type="expression" dxfId="1091" priority="17" stopIfTrue="1">
      <formula>OR($C15="Rul 5")</formula>
    </cfRule>
    <cfRule type="expression" dxfId="1090" priority="18" stopIfTrue="1">
      <formula>OR($C15="Rul 4")</formula>
    </cfRule>
    <cfRule type="expression" dxfId="1089" priority="19" stopIfTrue="1">
      <formula>OR($C15="Rul 3")</formula>
    </cfRule>
    <cfRule type="expression" dxfId="1088" priority="20" stopIfTrue="1">
      <formula>OR($C15="Rul 1")</formula>
    </cfRule>
    <cfRule type="expression" dxfId="1087" priority="21">
      <formula>OR($C15="Normal uge 1")</formula>
    </cfRule>
    <cfRule type="expression" dxfId="1086" priority="32">
      <formula>OR($C15="pæd.dag")</formula>
    </cfRule>
    <cfRule type="expression" dxfId="1085" priority="31">
      <formula>OR($C15="Ikke relevant")</formula>
    </cfRule>
    <cfRule type="expression" dxfId="1084" priority="30">
      <formula>OR($C15="Normal uge 4")</formula>
    </cfRule>
    <cfRule type="expression" dxfId="1083" priority="29">
      <formula>OR($C15="Normal uge 3")</formula>
    </cfRule>
    <cfRule type="expression" dxfId="1082" priority="28">
      <formula>OR($C15="Normal uge 2")</formula>
    </cfRule>
  </conditionalFormatting>
  <conditionalFormatting sqref="E26">
    <cfRule type="expression" dxfId="1081" priority="52">
      <formula>OR($D25="Ikke relevant")</formula>
    </cfRule>
    <cfRule type="expression" dxfId="1080" priority="42">
      <formula>OR($D25="pæd.dag")</formula>
    </cfRule>
    <cfRule type="expression" dxfId="1079" priority="50">
      <formula>OR($D25="weekend")</formula>
    </cfRule>
    <cfRule type="expression" dxfId="1078" priority="49">
      <formula>OR($D25="feriedag")</formula>
    </cfRule>
    <cfRule type="expression" dxfId="1077" priority="48">
      <formula>OR($D25="fagdag")</formula>
    </cfRule>
    <cfRule type="expression" dxfId="1076" priority="47">
      <formula>OR($D25="emnedag")</formula>
    </cfRule>
    <cfRule type="expression" dxfId="1075" priority="46">
      <formula>OR($D25="lejrskole")</formula>
    </cfRule>
    <cfRule type="expression" dxfId="1074" priority="45">
      <formula>OR($D25="ekskursion")</formula>
    </cfRule>
    <cfRule type="expression" dxfId="1073" priority="44">
      <formula>OR($D25="SH-dag")</formula>
    </cfRule>
    <cfRule type="expression" dxfId="1072" priority="51" stopIfTrue="1">
      <formula>OR($D25="skoledag")</formula>
    </cfRule>
    <cfRule type="expression" dxfId="1071" priority="43">
      <formula>OR($D25="nul-dag")</formula>
    </cfRule>
  </conditionalFormatting>
  <conditionalFormatting sqref="I15:J45">
    <cfRule type="expression" dxfId="1070" priority="25">
      <formula>OR($C15="Koloni",)</formula>
    </cfRule>
    <cfRule type="expression" dxfId="1069" priority="15" stopIfTrue="1">
      <formula>OR($C15="Ferieåbning",)</formula>
    </cfRule>
    <cfRule type="expression" dxfId="1068" priority="14">
      <formula>OR($C15="Anderledes dag",)</formula>
    </cfRule>
    <cfRule type="expression" dxfId="1067" priority="13">
      <formula>OR($C15="Ekskursion",)</formula>
    </cfRule>
  </conditionalFormatting>
  <conditionalFormatting sqref="J15:J45">
    <cfRule type="expression" dxfId="1066" priority="26">
      <formula>OR($C15="Pæd.dag",)</formula>
    </cfRule>
  </conditionalFormatting>
  <conditionalFormatting sqref="M15:M45">
    <cfRule type="expression" dxfId="1065" priority="53">
      <formula>OR($H15&gt;"0",)</formula>
    </cfRule>
  </conditionalFormatting>
  <conditionalFormatting sqref="O15:O45">
    <cfRule type="expression" dxfId="1063" priority="8">
      <formula>OR($N15&gt;0,)</formula>
    </cfRule>
  </conditionalFormatting>
  <conditionalFormatting sqref="S15:S45">
    <cfRule type="expression" dxfId="1062" priority="24">
      <formula>OR($P15="X",)</formula>
    </cfRule>
  </conditionalFormatting>
  <conditionalFormatting sqref="T15:T45">
    <cfRule type="expression" dxfId="1061" priority="23">
      <formula>OR($Q15="X",)</formula>
    </cfRule>
  </conditionalFormatting>
  <conditionalFormatting sqref="T53:T56">
    <cfRule type="expression" dxfId="1060" priority="5">
      <formula>OR($L53&gt;0,)</formula>
    </cfRule>
  </conditionalFormatting>
  <conditionalFormatting sqref="U15:U45">
    <cfRule type="expression" dxfId="1059" priority="22">
      <formula>OR($R15="X",)</formula>
    </cfRule>
  </conditionalFormatting>
  <conditionalFormatting sqref="U53:U54 U56">
    <cfRule type="expression" dxfId="1058" priority="10">
      <formula>OR($M53&gt;0,)</formula>
    </cfRule>
  </conditionalFormatting>
  <conditionalFormatting sqref="U55:W55">
    <cfRule type="expression" dxfId="1057" priority="6">
      <formula>OR($M55&gt;0,)</formula>
    </cfRule>
  </conditionalFormatting>
  <conditionalFormatting sqref="BN54 BN56:BN57">
    <cfRule type="expression" dxfId="1056" priority="1">
      <formula>OR(#REF!&gt;0,)</formula>
    </cfRule>
  </conditionalFormatting>
  <conditionalFormatting sqref="BP55">
    <cfRule type="expression" dxfId="1055" priority="7">
      <formula>OR(#REF!&gt;0,)</formula>
    </cfRule>
  </conditionalFormatting>
  <conditionalFormatting sqref="BR58">
    <cfRule type="expression" dxfId="1054" priority="54">
      <formula>OR(#REF!&gt;0,)</formula>
    </cfRule>
  </conditionalFormatting>
  <dataValidations count="3">
    <dataValidation type="list" allowBlank="1" showInputMessage="1" sqref="C15:C45" xr:uid="{1EDA78B6-9EF6-0C43-812F-13DF16AEB51E}">
      <formula1>$A$60:$A$82</formula1>
    </dataValidation>
    <dataValidation type="list" allowBlank="1" showInputMessage="1" showErrorMessage="1" sqref="R15:R43 P15:Q45 L53:M54 L56:M56" xr:uid="{E5C19E48-74E5-3D41-8B28-4600E319F34E}">
      <formula1>$Y$1:$Y$2</formula1>
    </dataValidation>
    <dataValidation type="list" allowBlank="1" showInputMessage="1" showErrorMessage="1" sqref="L55:M55" xr:uid="{56871CE3-D927-0A48-B118-F058F04916D2}">
      <formula1>$AA$1:$AA$2</formula1>
    </dataValidation>
  </dataValidations>
  <hyperlinks>
    <hyperlink ref="A5:B5" location="'Normal uger'!A11" display="Normale uger" xr:uid="{62C579DC-93C4-4244-8206-F009637F9E74}"/>
    <hyperlink ref="C5:D5" location="Rul!B20" display="Rul" xr:uid="{97536B7E-2098-7043-B63B-F08C34F36D35}"/>
    <hyperlink ref="E5:F5" location="Arbejdstidsoversigt!A19" display="Arbejdstids-oversigt" xr:uid="{F13D5B3E-612A-0945-80DD-DCDE5DD015B7}"/>
    <hyperlink ref="G5:H5" location="Opgørelse!B12" display="Opgørelse" xr:uid="{458075F2-FBC1-9B4A-B9C3-EA3EC9E82025}"/>
    <hyperlink ref="A6:B6" location="August!A12" display="August" xr:uid="{52570957-4EF3-764B-B922-0F48EF9E3359}"/>
    <hyperlink ref="C6:D6" location="September!A8" display="September" xr:uid="{29BC3251-042A-B642-B318-04926632F37D}"/>
    <hyperlink ref="E6:F6" location="Oktober!A8" display="Oktober" xr:uid="{0350C8EA-19A5-EA4A-AE0E-43E52DEEB9AD}"/>
    <hyperlink ref="G6:H6" location="November!A8" display="November" xr:uid="{D9F374AE-F4B4-0140-B0FC-CE3C7939DDB5}"/>
    <hyperlink ref="A7:B7" location="December!A8" display="December" xr:uid="{BFC4193E-28A4-B24F-A1CB-F6ECD734F132}"/>
    <hyperlink ref="C7:D7" location="Januar!A8" display="Januar" xr:uid="{47AFA251-6301-4A46-96DC-69D2A1D9182A}"/>
    <hyperlink ref="E7:F7" location="Februar!A8" display="Februar" xr:uid="{D4665449-E115-D047-8784-6B74A063E1C0}"/>
    <hyperlink ref="A8:B8" location="April!A8" display="April" xr:uid="{ABDB615E-8E4B-F343-B014-3B7AD7BC06E4}"/>
    <hyperlink ref="C8:D8" location="Maj!A8" display="Maj" xr:uid="{B05DE075-E24F-D44B-BE0A-B80C8370E1DB}"/>
    <hyperlink ref="E8:F8" location="Juni!A8" display="Juni" xr:uid="{E292E135-3F18-5345-AA35-970B91D4CDBA}"/>
    <hyperlink ref="G8:H8" location="Juli!A8" display="Juli" xr:uid="{C0797453-230C-E64F-9C0C-C705F6B37675}"/>
    <hyperlink ref="G7:H7" location="Marts!A8" display="Marts" xr:uid="{35AC945D-3412-1F45-B737-BAC2C58AABC7}"/>
    <hyperlink ref="I5:J5" location="Stamoplysninger!E18" display="Stamoplysninger" xr:uid="{4860310B-38DD-514B-BE8A-7419C3268C22}"/>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95E42B92-CADE-6540-8806-10BD74222F34}">
            <xm:f>OR(Arbejdstidsoversigt!$H$54="Puljetimer registreres ikke men afvikles jævnt hen over normperioden",)</xm:f>
            <x14:dxf>
              <fill>
                <patternFill>
                  <bgColor theme="1"/>
                </patternFill>
              </fill>
            </x14:dxf>
          </x14:cfRule>
          <xm:sqref>N15:N45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AC5F-5C72-294D-AB8C-6A2DE2C57845}">
  <sheetPr>
    <tabColor theme="4" tint="-0.249977111117893"/>
    <pageSetUpPr fitToPage="1"/>
  </sheetPr>
  <dimension ref="A1:DQ126"/>
  <sheetViews>
    <sheetView topLeftCell="A14" zoomScaleNormal="100" workbookViewId="0">
      <selection activeCell="M41" sqref="M41"/>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6" width="10.83203125"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972" t="s">
        <v>114</v>
      </c>
      <c r="W1" s="973"/>
      <c r="X1" s="973"/>
      <c r="Y1" s="56"/>
      <c r="AA1" s="136"/>
      <c r="AB1" s="56"/>
      <c r="AD1" s="56"/>
      <c r="AE1" s="56"/>
      <c r="AP1" s="56"/>
      <c r="AQ1" s="56"/>
      <c r="BS1" s="136"/>
      <c r="BT1" s="136"/>
      <c r="BV1" s="56"/>
      <c r="CG1" s="56"/>
      <c r="CH1" s="56"/>
    </row>
    <row r="2" spans="1:116" ht="36" customHeight="1">
      <c r="A2" s="886">
        <v>4</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April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Januar!A12</f>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134</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4" si="0">CHOOSE(MOD(WEEKDAY(DATE(A$12,A$2,A15)),7)+1,"lø","sø","ma","ti","on","to","fr",)</f>
        <v>on</v>
      </c>
      <c r="C15" s="73" t="s">
        <v>217</v>
      </c>
      <c r="D15" s="74" t="str">
        <f t="shared" ref="D15:D44"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4" si="2">IF(Q15="x",T15-L15,0)</f>
        <v>0</v>
      </c>
      <c r="X15" s="358">
        <f>IF($C$15="Anderledes dag",$I$15,0)</f>
        <v>0</v>
      </c>
      <c r="Y15" s="358">
        <f>IF(C15="Ferieåbning",I15,0)</f>
        <v>0</v>
      </c>
      <c r="Z15" s="358">
        <f t="shared" ref="Z15:Z44"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4" si="4">SUM(AJ15:AN15)*24</f>
        <v>0</v>
      </c>
      <c r="BP15" s="358">
        <f t="shared" ref="BP15:BP44" si="5">IF(C15="Anderledes dag",J15,0)</f>
        <v>0</v>
      </c>
      <c r="BQ15" s="358">
        <f t="shared" ref="BQ15:BQ44" si="6">IF(C15="Ferieåbning",J15,0)</f>
        <v>0</v>
      </c>
      <c r="BR15" s="358">
        <f t="shared" ref="BR15:BR44" si="7">IF(C15="Pæd.dag",J15,0)</f>
        <v>0</v>
      </c>
      <c r="BS15" s="358">
        <f t="shared" ref="BS15:BS44" si="8">IF(C15="Ekskursion",J15,0)</f>
        <v>0</v>
      </c>
      <c r="BT15" s="358">
        <f t="shared" ref="BT15:BT44"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 t="shared" ref="DE15:DE44" si="10">SUM(BP15:CT15)</f>
        <v>0</v>
      </c>
      <c r="DF15" t="str">
        <f t="shared" ref="DF15:DF44" si="11">IF(AND(E15&gt;0,H15&gt;0),""&amp;E15&amp;" og "&amp;H15&amp;"","")</f>
        <v/>
      </c>
      <c r="DG15">
        <f t="shared" ref="DG15:DG44" si="12">IF(H15="",E15,"")</f>
        <v>0</v>
      </c>
      <c r="DH15">
        <f t="shared" ref="DH15:DH44" si="13">IF(E15="",H15,"")</f>
        <v>0</v>
      </c>
      <c r="DI15" t="str">
        <f t="shared" ref="DI15:DK45" si="14">IF(DF15=0,"",DF15)</f>
        <v/>
      </c>
      <c r="DJ15" t="str">
        <f>IF(DG15=0,"",DG15)</f>
        <v/>
      </c>
      <c r="DK15" t="str">
        <f>IF(DH15=0,"",DH15)</f>
        <v/>
      </c>
      <c r="DL15" t="str">
        <f>DI15&amp;""&amp;DJ15&amp;""&amp;DK15</f>
        <v/>
      </c>
    </row>
    <row r="16" spans="1:116">
      <c r="A16" s="135">
        <f t="shared" ref="A16:A44" si="15">IF(ISNUMBER(A15),A15+1,1)</f>
        <v>2</v>
      </c>
      <c r="B16" s="72" t="str">
        <f t="shared" si="0"/>
        <v>to</v>
      </c>
      <c r="C16" s="73" t="s">
        <v>76</v>
      </c>
      <c r="D16" s="74" t="str">
        <f t="shared" si="1"/>
        <v/>
      </c>
      <c r="E16" s="858" t="s">
        <v>71</v>
      </c>
      <c r="F16" s="859"/>
      <c r="G16" s="860"/>
      <c r="H16" s="175"/>
      <c r="I16" s="221"/>
      <c r="J16" s="221"/>
      <c r="K16" s="191">
        <f t="shared" ref="K16:K44" si="16">BN16</f>
        <v>0</v>
      </c>
      <c r="L16" s="191">
        <f t="shared" ref="L16:L44" si="17">DE16</f>
        <v>0</v>
      </c>
      <c r="M16" s="238"/>
      <c r="N16" s="357"/>
      <c r="O16" s="408"/>
      <c r="P16" s="195"/>
      <c r="Q16" s="196"/>
      <c r="R16" s="196"/>
      <c r="S16" s="192"/>
      <c r="T16" s="255"/>
      <c r="U16" s="193"/>
      <c r="V16">
        <f t="shared" ref="V16:V44" si="18">IF(P16="x",S16-K16,0)</f>
        <v>0</v>
      </c>
      <c r="W16">
        <f t="shared" si="2"/>
        <v>0</v>
      </c>
      <c r="X16" s="358">
        <f t="shared" ref="X16:X44" si="19">IF(C16="Anderledes dag",I16,0)</f>
        <v>0</v>
      </c>
      <c r="Y16" s="358">
        <f t="shared" ref="Y16:Y44" si="20">IF(C16="Ferieåbning",I16,0)</f>
        <v>0</v>
      </c>
      <c r="Z16" s="358">
        <f t="shared" si="3"/>
        <v>0</v>
      </c>
      <c r="AA16" s="358">
        <f t="shared" ref="AA16:AA44" si="21">IF(C16="Ekskursion",I16,0)</f>
        <v>0</v>
      </c>
      <c r="AB16" s="358">
        <f t="shared" ref="AB16:AB44" si="22">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3">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si="10"/>
        <v>0</v>
      </c>
      <c r="DF16" t="str">
        <f t="shared" si="11"/>
        <v/>
      </c>
      <c r="DG16" t="str">
        <f t="shared" si="12"/>
        <v>Skærtorsdag</v>
      </c>
      <c r="DH16" t="str">
        <f t="shared" si="13"/>
        <v/>
      </c>
      <c r="DI16" t="str">
        <f t="shared" si="14"/>
        <v/>
      </c>
      <c r="DJ16" t="str">
        <f t="shared" si="14"/>
        <v>Skærtorsdag</v>
      </c>
      <c r="DK16" t="str">
        <f t="shared" si="14"/>
        <v/>
      </c>
      <c r="DL16" t="str">
        <f t="shared" ref="DL16:DL44" si="24">DI16&amp;""&amp;DJ16&amp;""&amp;DK16</f>
        <v>Skærtorsdag</v>
      </c>
    </row>
    <row r="17" spans="1:116">
      <c r="A17" s="135">
        <f t="shared" si="15"/>
        <v>3</v>
      </c>
      <c r="B17" s="72" t="str">
        <f t="shared" si="0"/>
        <v>fr</v>
      </c>
      <c r="C17" s="73" t="s">
        <v>76</v>
      </c>
      <c r="D17" s="74" t="str">
        <f t="shared" si="1"/>
        <v/>
      </c>
      <c r="E17" s="858" t="s">
        <v>101</v>
      </c>
      <c r="F17" s="859"/>
      <c r="G17" s="860"/>
      <c r="H17" s="175"/>
      <c r="I17" s="221"/>
      <c r="J17" s="221"/>
      <c r="K17" s="191">
        <f t="shared" si="16"/>
        <v>0</v>
      </c>
      <c r="L17" s="191">
        <f t="shared" si="17"/>
        <v>0</v>
      </c>
      <c r="M17" s="238"/>
      <c r="N17" s="357"/>
      <c r="O17" s="408"/>
      <c r="P17" s="195"/>
      <c r="Q17" s="196"/>
      <c r="R17" s="196"/>
      <c r="S17" s="192"/>
      <c r="T17" s="255"/>
      <c r="U17" s="193"/>
      <c r="V17">
        <f t="shared" si="18"/>
        <v>0</v>
      </c>
      <c r="W17">
        <f t="shared" si="2"/>
        <v>0</v>
      </c>
      <c r="X17" s="358">
        <f t="shared" si="19"/>
        <v>0</v>
      </c>
      <c r="Y17" s="358">
        <f t="shared" si="20"/>
        <v>0</v>
      </c>
      <c r="Z17" s="358">
        <f t="shared" si="3"/>
        <v>0</v>
      </c>
      <c r="AA17" s="358">
        <f t="shared" si="21"/>
        <v>0</v>
      </c>
      <c r="AB17" s="358">
        <f t="shared" si="22"/>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3"/>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10"/>
        <v>0</v>
      </c>
      <c r="DF17" t="str">
        <f t="shared" si="11"/>
        <v/>
      </c>
      <c r="DG17" t="str">
        <f t="shared" si="12"/>
        <v>Langfredag</v>
      </c>
      <c r="DH17" t="str">
        <f t="shared" si="13"/>
        <v/>
      </c>
      <c r="DI17" t="str">
        <f t="shared" si="14"/>
        <v/>
      </c>
      <c r="DJ17" t="str">
        <f t="shared" si="14"/>
        <v>Langfredag</v>
      </c>
      <c r="DK17" t="str">
        <f t="shared" si="14"/>
        <v/>
      </c>
      <c r="DL17" t="str">
        <f t="shared" si="24"/>
        <v>Langfredag</v>
      </c>
    </row>
    <row r="18" spans="1:116">
      <c r="A18" s="135">
        <f t="shared" si="15"/>
        <v>4</v>
      </c>
      <c r="B18" s="72" t="str">
        <f t="shared" si="0"/>
        <v>lø</v>
      </c>
      <c r="C18" s="73" t="s">
        <v>77</v>
      </c>
      <c r="D18" s="74" t="str">
        <f t="shared" si="1"/>
        <v/>
      </c>
      <c r="E18" s="858"/>
      <c r="F18" s="859"/>
      <c r="G18" s="860"/>
      <c r="H18" s="175"/>
      <c r="I18" s="221"/>
      <c r="J18" s="221"/>
      <c r="K18" s="191">
        <f t="shared" si="16"/>
        <v>0</v>
      </c>
      <c r="L18" s="191">
        <f t="shared" si="17"/>
        <v>0</v>
      </c>
      <c r="M18" s="238"/>
      <c r="N18" s="357"/>
      <c r="O18" s="408"/>
      <c r="P18" s="195"/>
      <c r="Q18" s="196"/>
      <c r="R18" s="196"/>
      <c r="S18" s="192"/>
      <c r="T18" s="255"/>
      <c r="U18" s="193"/>
      <c r="V18">
        <f t="shared" si="18"/>
        <v>0</v>
      </c>
      <c r="W18">
        <f t="shared" si="2"/>
        <v>0</v>
      </c>
      <c r="X18" s="358">
        <f t="shared" si="19"/>
        <v>0</v>
      </c>
      <c r="Y18" s="358">
        <f t="shared" si="20"/>
        <v>0</v>
      </c>
      <c r="Z18" s="358">
        <f t="shared" si="3"/>
        <v>0</v>
      </c>
      <c r="AA18" s="358">
        <f t="shared" si="21"/>
        <v>0</v>
      </c>
      <c r="AB18" s="358">
        <f t="shared" si="22"/>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3"/>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10"/>
        <v>0</v>
      </c>
      <c r="DF18" t="str">
        <f t="shared" si="11"/>
        <v/>
      </c>
      <c r="DG18">
        <f t="shared" si="12"/>
        <v>0</v>
      </c>
      <c r="DH18">
        <f t="shared" si="13"/>
        <v>0</v>
      </c>
      <c r="DI18" t="str">
        <f t="shared" si="14"/>
        <v/>
      </c>
      <c r="DJ18" t="str">
        <f t="shared" si="14"/>
        <v/>
      </c>
      <c r="DK18" t="str">
        <f t="shared" si="14"/>
        <v/>
      </c>
      <c r="DL18" t="str">
        <f t="shared" si="24"/>
        <v/>
      </c>
    </row>
    <row r="19" spans="1:116">
      <c r="A19" s="135">
        <f t="shared" si="15"/>
        <v>5</v>
      </c>
      <c r="B19" s="72" t="str">
        <f t="shared" si="0"/>
        <v>sø</v>
      </c>
      <c r="C19" s="73" t="s">
        <v>77</v>
      </c>
      <c r="D19" s="74" t="str">
        <f t="shared" si="1"/>
        <v/>
      </c>
      <c r="E19" s="858" t="s">
        <v>475</v>
      </c>
      <c r="F19" s="859"/>
      <c r="G19" s="860"/>
      <c r="H19" s="175"/>
      <c r="I19" s="221"/>
      <c r="J19" s="221"/>
      <c r="K19" s="191">
        <f t="shared" si="16"/>
        <v>0</v>
      </c>
      <c r="L19" s="191">
        <f t="shared" si="17"/>
        <v>0</v>
      </c>
      <c r="M19" s="238"/>
      <c r="N19" s="357"/>
      <c r="O19" s="408"/>
      <c r="P19" s="195"/>
      <c r="Q19" s="196"/>
      <c r="R19" s="196"/>
      <c r="S19" s="192"/>
      <c r="T19" s="255"/>
      <c r="U19" s="193"/>
      <c r="V19">
        <f t="shared" si="18"/>
        <v>0</v>
      </c>
      <c r="W19">
        <f t="shared" si="2"/>
        <v>0</v>
      </c>
      <c r="X19" s="358">
        <f t="shared" si="19"/>
        <v>0</v>
      </c>
      <c r="Y19" s="358">
        <f t="shared" si="20"/>
        <v>0</v>
      </c>
      <c r="Z19" s="358">
        <f t="shared" si="3"/>
        <v>0</v>
      </c>
      <c r="AA19" s="358">
        <f t="shared" si="21"/>
        <v>0</v>
      </c>
      <c r="AB19" s="358">
        <f t="shared" si="22"/>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3"/>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10"/>
        <v>0</v>
      </c>
      <c r="DF19" t="str">
        <f t="shared" si="11"/>
        <v/>
      </c>
      <c r="DG19" t="str">
        <f t="shared" si="12"/>
        <v>Påskesøndag</v>
      </c>
      <c r="DH19" t="str">
        <f t="shared" si="13"/>
        <v/>
      </c>
      <c r="DI19" t="str">
        <f t="shared" si="14"/>
        <v/>
      </c>
      <c r="DJ19" t="str">
        <f t="shared" si="14"/>
        <v>Påskesøndag</v>
      </c>
      <c r="DK19" t="str">
        <f t="shared" si="14"/>
        <v/>
      </c>
      <c r="DL19" t="str">
        <f t="shared" si="24"/>
        <v>Påskesøndag</v>
      </c>
    </row>
    <row r="20" spans="1:116" ht="16" customHeight="1">
      <c r="A20" s="135">
        <f t="shared" si="15"/>
        <v>6</v>
      </c>
      <c r="B20" s="72" t="str">
        <f t="shared" si="0"/>
        <v>ma</v>
      </c>
      <c r="C20" s="73" t="s">
        <v>76</v>
      </c>
      <c r="D20" s="74">
        <f t="shared" si="1"/>
        <v>14.571428571428571</v>
      </c>
      <c r="E20" s="858" t="s">
        <v>267</v>
      </c>
      <c r="F20" s="859"/>
      <c r="G20" s="860"/>
      <c r="H20" s="175"/>
      <c r="I20" s="221"/>
      <c r="J20" s="221"/>
      <c r="K20" s="191">
        <f t="shared" si="16"/>
        <v>0</v>
      </c>
      <c r="L20" s="191">
        <f t="shared" si="17"/>
        <v>0</v>
      </c>
      <c r="M20" s="238"/>
      <c r="N20" s="357"/>
      <c r="O20" s="408"/>
      <c r="P20" s="195"/>
      <c r="Q20" s="196"/>
      <c r="R20" s="196"/>
      <c r="S20" s="192"/>
      <c r="T20" s="255"/>
      <c r="U20" s="193"/>
      <c r="V20">
        <f t="shared" si="18"/>
        <v>0</v>
      </c>
      <c r="W20">
        <f t="shared" si="2"/>
        <v>0</v>
      </c>
      <c r="X20" s="358">
        <f t="shared" si="19"/>
        <v>0</v>
      </c>
      <c r="Y20" s="358">
        <f t="shared" si="20"/>
        <v>0</v>
      </c>
      <c r="Z20" s="358">
        <f t="shared" si="3"/>
        <v>0</v>
      </c>
      <c r="AA20" s="358">
        <f t="shared" si="21"/>
        <v>0</v>
      </c>
      <c r="AB20" s="358">
        <f t="shared" si="22"/>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3"/>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10"/>
        <v>0</v>
      </c>
      <c r="DF20" t="str">
        <f t="shared" si="11"/>
        <v/>
      </c>
      <c r="DG20" t="str">
        <f t="shared" si="12"/>
        <v>2. Påskedag</v>
      </c>
      <c r="DH20" t="str">
        <f t="shared" si="13"/>
        <v/>
      </c>
      <c r="DI20" t="str">
        <f t="shared" si="14"/>
        <v/>
      </c>
      <c r="DJ20" t="str">
        <f t="shared" si="14"/>
        <v>2. Påskedag</v>
      </c>
      <c r="DK20" t="str">
        <f t="shared" si="14"/>
        <v/>
      </c>
      <c r="DL20" t="str">
        <f t="shared" si="24"/>
        <v>2. Påskedag</v>
      </c>
    </row>
    <row r="21" spans="1:116" ht="16" customHeight="1">
      <c r="A21" s="135">
        <f t="shared" si="15"/>
        <v>7</v>
      </c>
      <c r="B21" s="72" t="str">
        <f t="shared" si="0"/>
        <v>ti</v>
      </c>
      <c r="C21" s="73" t="s">
        <v>217</v>
      </c>
      <c r="D21" s="74" t="str">
        <f t="shared" si="1"/>
        <v/>
      </c>
      <c r="E21" s="858"/>
      <c r="F21" s="859"/>
      <c r="G21" s="860"/>
      <c r="H21" s="175"/>
      <c r="I21" s="221"/>
      <c r="J21" s="221"/>
      <c r="K21" s="191">
        <f t="shared" si="16"/>
        <v>0</v>
      </c>
      <c r="L21" s="191">
        <f t="shared" si="17"/>
        <v>0</v>
      </c>
      <c r="M21" s="238"/>
      <c r="N21" s="357"/>
      <c r="O21" s="408"/>
      <c r="P21" s="195"/>
      <c r="Q21" s="196"/>
      <c r="R21" s="196"/>
      <c r="S21" s="192"/>
      <c r="T21" s="255"/>
      <c r="U21" s="193"/>
      <c r="V21">
        <f t="shared" si="18"/>
        <v>0</v>
      </c>
      <c r="W21">
        <f t="shared" si="2"/>
        <v>0</v>
      </c>
      <c r="X21" s="358">
        <f t="shared" si="19"/>
        <v>0</v>
      </c>
      <c r="Y21" s="358">
        <f t="shared" si="20"/>
        <v>0</v>
      </c>
      <c r="Z21" s="358">
        <f t="shared" si="3"/>
        <v>0</v>
      </c>
      <c r="AA21" s="358">
        <f t="shared" si="21"/>
        <v>0</v>
      </c>
      <c r="AB21" s="358">
        <f t="shared" si="22"/>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3"/>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10"/>
        <v>0</v>
      </c>
      <c r="DF21" t="str">
        <f t="shared" si="11"/>
        <v/>
      </c>
      <c r="DG21">
        <f t="shared" si="12"/>
        <v>0</v>
      </c>
      <c r="DH21">
        <f t="shared" si="13"/>
        <v>0</v>
      </c>
      <c r="DI21" t="str">
        <f t="shared" si="14"/>
        <v/>
      </c>
      <c r="DJ21" t="str">
        <f t="shared" si="14"/>
        <v/>
      </c>
      <c r="DK21" t="str">
        <f t="shared" si="14"/>
        <v/>
      </c>
      <c r="DL21" t="str">
        <f t="shared" si="24"/>
        <v/>
      </c>
    </row>
    <row r="22" spans="1:116">
      <c r="A22" s="135">
        <f t="shared" si="15"/>
        <v>8</v>
      </c>
      <c r="B22" s="72" t="str">
        <f t="shared" si="0"/>
        <v>on</v>
      </c>
      <c r="C22" s="73" t="s">
        <v>217</v>
      </c>
      <c r="D22" s="74" t="str">
        <f t="shared" si="1"/>
        <v/>
      </c>
      <c r="E22" s="858"/>
      <c r="F22" s="859"/>
      <c r="G22" s="860"/>
      <c r="H22" s="175"/>
      <c r="I22" s="221"/>
      <c r="J22" s="221"/>
      <c r="K22" s="191">
        <f t="shared" si="16"/>
        <v>0</v>
      </c>
      <c r="L22" s="191">
        <f t="shared" si="17"/>
        <v>0</v>
      </c>
      <c r="M22" s="238"/>
      <c r="N22" s="357"/>
      <c r="O22" s="408"/>
      <c r="P22" s="195"/>
      <c r="Q22" s="196"/>
      <c r="R22" s="196"/>
      <c r="S22" s="192"/>
      <c r="T22" s="255"/>
      <c r="U22" s="193"/>
      <c r="V22">
        <f t="shared" si="18"/>
        <v>0</v>
      </c>
      <c r="W22">
        <f t="shared" si="2"/>
        <v>0</v>
      </c>
      <c r="X22" s="358">
        <f t="shared" si="19"/>
        <v>0</v>
      </c>
      <c r="Y22" s="358">
        <f t="shared" si="20"/>
        <v>0</v>
      </c>
      <c r="Z22" s="358">
        <f t="shared" si="3"/>
        <v>0</v>
      </c>
      <c r="AA22" s="358">
        <f t="shared" si="21"/>
        <v>0</v>
      </c>
      <c r="AB22" s="358">
        <f t="shared" si="22"/>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3"/>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10"/>
        <v>0</v>
      </c>
      <c r="DF22" t="str">
        <f t="shared" si="11"/>
        <v/>
      </c>
      <c r="DG22">
        <f t="shared" si="12"/>
        <v>0</v>
      </c>
      <c r="DH22">
        <f t="shared" si="13"/>
        <v>0</v>
      </c>
      <c r="DI22" t="str">
        <f t="shared" si="14"/>
        <v/>
      </c>
      <c r="DJ22" t="str">
        <f t="shared" si="14"/>
        <v/>
      </c>
      <c r="DK22" t="str">
        <f t="shared" si="14"/>
        <v/>
      </c>
      <c r="DL22" t="str">
        <f t="shared" si="24"/>
        <v/>
      </c>
    </row>
    <row r="23" spans="1:116">
      <c r="A23" s="135">
        <f t="shared" si="15"/>
        <v>9</v>
      </c>
      <c r="B23" s="72" t="str">
        <f t="shared" si="0"/>
        <v>to</v>
      </c>
      <c r="C23" s="73" t="s">
        <v>217</v>
      </c>
      <c r="D23" s="74" t="str">
        <f t="shared" si="1"/>
        <v/>
      </c>
      <c r="E23" s="858"/>
      <c r="F23" s="859"/>
      <c r="G23" s="860"/>
      <c r="H23" s="175"/>
      <c r="I23" s="221"/>
      <c r="J23" s="221"/>
      <c r="K23" s="191">
        <f t="shared" si="16"/>
        <v>0</v>
      </c>
      <c r="L23" s="191">
        <f t="shared" si="17"/>
        <v>0</v>
      </c>
      <c r="M23" s="238"/>
      <c r="N23" s="357"/>
      <c r="O23" s="408"/>
      <c r="P23" s="195"/>
      <c r="Q23" s="196"/>
      <c r="R23" s="196"/>
      <c r="S23" s="192"/>
      <c r="T23" s="255"/>
      <c r="U23" s="193"/>
      <c r="V23">
        <f t="shared" si="18"/>
        <v>0</v>
      </c>
      <c r="W23">
        <f t="shared" si="2"/>
        <v>0</v>
      </c>
      <c r="X23" s="358">
        <f t="shared" si="19"/>
        <v>0</v>
      </c>
      <c r="Y23" s="358">
        <f t="shared" si="20"/>
        <v>0</v>
      </c>
      <c r="Z23" s="358">
        <f t="shared" si="3"/>
        <v>0</v>
      </c>
      <c r="AA23" s="358">
        <f t="shared" si="21"/>
        <v>0</v>
      </c>
      <c r="AB23" s="358">
        <f t="shared" si="22"/>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3"/>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10"/>
        <v>0</v>
      </c>
      <c r="DF23" t="str">
        <f t="shared" si="11"/>
        <v/>
      </c>
      <c r="DG23">
        <f t="shared" si="12"/>
        <v>0</v>
      </c>
      <c r="DH23">
        <f t="shared" si="13"/>
        <v>0</v>
      </c>
      <c r="DI23" t="str">
        <f t="shared" si="14"/>
        <v/>
      </c>
      <c r="DJ23" t="str">
        <f t="shared" si="14"/>
        <v/>
      </c>
      <c r="DK23" t="str">
        <f t="shared" si="14"/>
        <v/>
      </c>
      <c r="DL23" t="str">
        <f t="shared" si="24"/>
        <v/>
      </c>
    </row>
    <row r="24" spans="1:116">
      <c r="A24" s="135">
        <f t="shared" si="15"/>
        <v>10</v>
      </c>
      <c r="B24" s="72" t="str">
        <f t="shared" si="0"/>
        <v>fr</v>
      </c>
      <c r="C24" s="73" t="s">
        <v>217</v>
      </c>
      <c r="D24" s="74" t="str">
        <f t="shared" si="1"/>
        <v/>
      </c>
      <c r="E24" s="858"/>
      <c r="F24" s="859"/>
      <c r="G24" s="860"/>
      <c r="H24" s="175"/>
      <c r="I24" s="221"/>
      <c r="J24" s="221"/>
      <c r="K24" s="191">
        <f t="shared" si="16"/>
        <v>0</v>
      </c>
      <c r="L24" s="191">
        <f t="shared" si="17"/>
        <v>0</v>
      </c>
      <c r="M24" s="238"/>
      <c r="N24" s="357"/>
      <c r="O24" s="408"/>
      <c r="P24" s="195"/>
      <c r="Q24" s="196"/>
      <c r="R24" s="196"/>
      <c r="S24" s="192"/>
      <c r="T24" s="255"/>
      <c r="U24" s="193"/>
      <c r="V24">
        <f t="shared" si="18"/>
        <v>0</v>
      </c>
      <c r="W24">
        <f t="shared" si="2"/>
        <v>0</v>
      </c>
      <c r="X24" s="358">
        <f t="shared" si="19"/>
        <v>0</v>
      </c>
      <c r="Y24" s="358">
        <f t="shared" si="20"/>
        <v>0</v>
      </c>
      <c r="Z24" s="358">
        <f t="shared" si="3"/>
        <v>0</v>
      </c>
      <c r="AA24" s="358">
        <f t="shared" si="21"/>
        <v>0</v>
      </c>
      <c r="AB24" s="358">
        <f t="shared" si="22"/>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3"/>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10"/>
        <v>0</v>
      </c>
      <c r="DF24" t="str">
        <f t="shared" si="11"/>
        <v/>
      </c>
      <c r="DG24">
        <f t="shared" si="12"/>
        <v>0</v>
      </c>
      <c r="DH24">
        <f t="shared" si="13"/>
        <v>0</v>
      </c>
      <c r="DI24" t="str">
        <f t="shared" si="14"/>
        <v/>
      </c>
      <c r="DJ24" t="str">
        <f t="shared" si="14"/>
        <v/>
      </c>
      <c r="DK24" t="str">
        <f t="shared" si="14"/>
        <v/>
      </c>
      <c r="DL24" t="str">
        <f t="shared" si="24"/>
        <v/>
      </c>
    </row>
    <row r="25" spans="1:116">
      <c r="A25" s="135">
        <f t="shared" si="15"/>
        <v>11</v>
      </c>
      <c r="B25" s="72" t="str">
        <f t="shared" si="0"/>
        <v>lø</v>
      </c>
      <c r="C25" s="73" t="s">
        <v>77</v>
      </c>
      <c r="D25" s="74" t="str">
        <f t="shared" si="1"/>
        <v/>
      </c>
      <c r="E25" s="858"/>
      <c r="F25" s="859"/>
      <c r="G25" s="860"/>
      <c r="H25" s="175"/>
      <c r="I25" s="221"/>
      <c r="J25" s="221"/>
      <c r="K25" s="191">
        <f t="shared" si="16"/>
        <v>0</v>
      </c>
      <c r="L25" s="191">
        <f t="shared" si="17"/>
        <v>0</v>
      </c>
      <c r="M25" s="238"/>
      <c r="N25" s="357"/>
      <c r="O25" s="408"/>
      <c r="P25" s="195"/>
      <c r="Q25" s="196"/>
      <c r="R25" s="196"/>
      <c r="S25" s="192"/>
      <c r="T25" s="255"/>
      <c r="U25" s="193"/>
      <c r="V25">
        <f t="shared" si="18"/>
        <v>0</v>
      </c>
      <c r="W25">
        <f t="shared" si="2"/>
        <v>0</v>
      </c>
      <c r="X25" s="358">
        <f t="shared" si="19"/>
        <v>0</v>
      </c>
      <c r="Y25" s="358">
        <f t="shared" si="20"/>
        <v>0</v>
      </c>
      <c r="Z25" s="358">
        <f t="shared" si="3"/>
        <v>0</v>
      </c>
      <c r="AA25" s="358">
        <f t="shared" si="21"/>
        <v>0</v>
      </c>
      <c r="AB25" s="358">
        <f t="shared" si="22"/>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3"/>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10"/>
        <v>0</v>
      </c>
      <c r="DF25" t="str">
        <f t="shared" si="11"/>
        <v/>
      </c>
      <c r="DG25">
        <f t="shared" si="12"/>
        <v>0</v>
      </c>
      <c r="DH25">
        <f t="shared" si="13"/>
        <v>0</v>
      </c>
      <c r="DI25" t="str">
        <f t="shared" si="14"/>
        <v/>
      </c>
      <c r="DJ25" t="str">
        <f t="shared" si="14"/>
        <v/>
      </c>
      <c r="DK25" t="str">
        <f t="shared" si="14"/>
        <v/>
      </c>
      <c r="DL25" t="str">
        <f t="shared" si="24"/>
        <v/>
      </c>
    </row>
    <row r="26" spans="1:116">
      <c r="A26" s="135">
        <f>IF(ISNUMBER(A25),A25+1,1)</f>
        <v>12</v>
      </c>
      <c r="B26" s="72" t="str">
        <f t="shared" si="0"/>
        <v>sø</v>
      </c>
      <c r="C26" s="73" t="s">
        <v>77</v>
      </c>
      <c r="D26" s="74" t="str">
        <f t="shared" si="1"/>
        <v/>
      </c>
      <c r="E26" s="858"/>
      <c r="F26" s="859"/>
      <c r="G26" s="860"/>
      <c r="H26" s="175"/>
      <c r="I26" s="221"/>
      <c r="J26" s="221"/>
      <c r="K26" s="191">
        <f t="shared" si="16"/>
        <v>0</v>
      </c>
      <c r="L26" s="191">
        <f t="shared" si="17"/>
        <v>0</v>
      </c>
      <c r="M26" s="238"/>
      <c r="N26" s="357"/>
      <c r="O26" s="408"/>
      <c r="P26" s="195"/>
      <c r="Q26" s="196"/>
      <c r="R26" s="196"/>
      <c r="S26" s="192"/>
      <c r="T26" s="255"/>
      <c r="U26" s="193"/>
      <c r="V26">
        <f t="shared" si="18"/>
        <v>0</v>
      </c>
      <c r="W26">
        <f t="shared" si="2"/>
        <v>0</v>
      </c>
      <c r="X26" s="358">
        <f t="shared" si="19"/>
        <v>0</v>
      </c>
      <c r="Y26" s="358">
        <f t="shared" si="20"/>
        <v>0</v>
      </c>
      <c r="Z26" s="358">
        <f t="shared" si="3"/>
        <v>0</v>
      </c>
      <c r="AA26" s="358">
        <f t="shared" si="21"/>
        <v>0</v>
      </c>
      <c r="AB26" s="358">
        <f t="shared" si="22"/>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3"/>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10"/>
        <v>0</v>
      </c>
      <c r="DF26" t="str">
        <f t="shared" si="11"/>
        <v/>
      </c>
      <c r="DG26">
        <f t="shared" si="12"/>
        <v>0</v>
      </c>
      <c r="DH26">
        <f t="shared" si="13"/>
        <v>0</v>
      </c>
      <c r="DI26" t="str">
        <f t="shared" si="14"/>
        <v/>
      </c>
      <c r="DJ26" t="str">
        <f t="shared" si="14"/>
        <v/>
      </c>
      <c r="DK26" t="str">
        <f t="shared" si="14"/>
        <v/>
      </c>
      <c r="DL26" t="str">
        <f t="shared" si="24"/>
        <v/>
      </c>
    </row>
    <row r="27" spans="1:116">
      <c r="A27" s="135">
        <f>IF(ISNUMBER(A26),A26+1,1)</f>
        <v>13</v>
      </c>
      <c r="B27" s="72" t="str">
        <f t="shared" si="0"/>
        <v>ma</v>
      </c>
      <c r="C27" s="73" t="s">
        <v>217</v>
      </c>
      <c r="D27" s="74">
        <f t="shared" si="1"/>
        <v>15.571428571428571</v>
      </c>
      <c r="E27" s="861"/>
      <c r="F27" s="862"/>
      <c r="G27" s="863"/>
      <c r="H27" s="174"/>
      <c r="I27" s="221"/>
      <c r="J27" s="221"/>
      <c r="K27" s="191">
        <f t="shared" si="16"/>
        <v>0</v>
      </c>
      <c r="L27" s="191">
        <f t="shared" si="17"/>
        <v>0</v>
      </c>
      <c r="M27" s="238"/>
      <c r="N27" s="357"/>
      <c r="O27" s="408"/>
      <c r="P27" s="195"/>
      <c r="Q27" s="196"/>
      <c r="R27" s="196"/>
      <c r="S27" s="192"/>
      <c r="T27" s="255"/>
      <c r="U27" s="193"/>
      <c r="V27">
        <f t="shared" si="18"/>
        <v>0</v>
      </c>
      <c r="W27">
        <f t="shared" si="2"/>
        <v>0</v>
      </c>
      <c r="X27" s="358">
        <f t="shared" si="19"/>
        <v>0</v>
      </c>
      <c r="Y27" s="358">
        <f t="shared" si="20"/>
        <v>0</v>
      </c>
      <c r="Z27" s="358">
        <f t="shared" si="3"/>
        <v>0</v>
      </c>
      <c r="AA27" s="358">
        <f t="shared" si="21"/>
        <v>0</v>
      </c>
      <c r="AB27" s="358">
        <f t="shared" si="22"/>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3"/>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10"/>
        <v>0</v>
      </c>
      <c r="DF27" t="str">
        <f t="shared" si="11"/>
        <v/>
      </c>
      <c r="DG27">
        <f t="shared" si="12"/>
        <v>0</v>
      </c>
      <c r="DH27">
        <f t="shared" si="13"/>
        <v>0</v>
      </c>
      <c r="DI27" t="str">
        <f t="shared" si="14"/>
        <v/>
      </c>
      <c r="DJ27" t="str">
        <f t="shared" si="14"/>
        <v/>
      </c>
      <c r="DK27" t="str">
        <f t="shared" si="14"/>
        <v/>
      </c>
      <c r="DL27" t="str">
        <f t="shared" si="24"/>
        <v/>
      </c>
    </row>
    <row r="28" spans="1:116">
      <c r="A28" s="135">
        <f t="shared" si="15"/>
        <v>14</v>
      </c>
      <c r="B28" s="72" t="str">
        <f t="shared" si="0"/>
        <v>ti</v>
      </c>
      <c r="C28" s="73" t="s">
        <v>217</v>
      </c>
      <c r="D28" s="74" t="str">
        <f t="shared" si="1"/>
        <v/>
      </c>
      <c r="E28" s="861"/>
      <c r="F28" s="862"/>
      <c r="G28" s="863"/>
      <c r="H28" s="174"/>
      <c r="I28" s="221"/>
      <c r="J28" s="221"/>
      <c r="K28" s="191">
        <f t="shared" si="16"/>
        <v>0</v>
      </c>
      <c r="L28" s="191">
        <f t="shared" si="17"/>
        <v>0</v>
      </c>
      <c r="M28" s="238"/>
      <c r="N28" s="357"/>
      <c r="O28" s="408"/>
      <c r="P28" s="195"/>
      <c r="Q28" s="196"/>
      <c r="R28" s="196"/>
      <c r="S28" s="192"/>
      <c r="T28" s="255"/>
      <c r="U28" s="193"/>
      <c r="V28">
        <f t="shared" si="18"/>
        <v>0</v>
      </c>
      <c r="W28">
        <f t="shared" si="2"/>
        <v>0</v>
      </c>
      <c r="X28" s="358">
        <f t="shared" si="19"/>
        <v>0</v>
      </c>
      <c r="Y28" s="358">
        <f t="shared" si="20"/>
        <v>0</v>
      </c>
      <c r="Z28" s="358">
        <f t="shared" si="3"/>
        <v>0</v>
      </c>
      <c r="AA28" s="358">
        <f t="shared" si="21"/>
        <v>0</v>
      </c>
      <c r="AB28" s="358">
        <f t="shared" si="22"/>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3"/>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10"/>
        <v>0</v>
      </c>
      <c r="DF28" t="str">
        <f t="shared" si="11"/>
        <v/>
      </c>
      <c r="DG28">
        <f t="shared" si="12"/>
        <v>0</v>
      </c>
      <c r="DH28">
        <f t="shared" si="13"/>
        <v>0</v>
      </c>
      <c r="DI28" t="str">
        <f t="shared" si="14"/>
        <v/>
      </c>
      <c r="DJ28" t="str">
        <f t="shared" si="14"/>
        <v/>
      </c>
      <c r="DK28" t="str">
        <f t="shared" si="14"/>
        <v/>
      </c>
      <c r="DL28" t="str">
        <f t="shared" si="24"/>
        <v/>
      </c>
    </row>
    <row r="29" spans="1:116">
      <c r="A29" s="135">
        <f t="shared" si="15"/>
        <v>15</v>
      </c>
      <c r="B29" s="72" t="str">
        <f t="shared" si="0"/>
        <v>on</v>
      </c>
      <c r="C29" s="73" t="s">
        <v>217</v>
      </c>
      <c r="D29" s="74" t="str">
        <f t="shared" si="1"/>
        <v/>
      </c>
      <c r="E29" s="861"/>
      <c r="F29" s="862"/>
      <c r="G29" s="863"/>
      <c r="H29" s="174"/>
      <c r="I29" s="221"/>
      <c r="J29" s="221"/>
      <c r="K29" s="191">
        <f t="shared" si="16"/>
        <v>0</v>
      </c>
      <c r="L29" s="191">
        <f t="shared" si="17"/>
        <v>0</v>
      </c>
      <c r="M29" s="238"/>
      <c r="N29" s="357"/>
      <c r="O29" s="408"/>
      <c r="P29" s="195"/>
      <c r="Q29" s="196"/>
      <c r="R29" s="196"/>
      <c r="S29" s="192"/>
      <c r="T29" s="255"/>
      <c r="U29" s="193"/>
      <c r="V29">
        <f t="shared" si="18"/>
        <v>0</v>
      </c>
      <c r="W29">
        <f t="shared" si="2"/>
        <v>0</v>
      </c>
      <c r="X29" s="358">
        <f t="shared" si="19"/>
        <v>0</v>
      </c>
      <c r="Y29" s="358">
        <f t="shared" si="20"/>
        <v>0</v>
      </c>
      <c r="Z29" s="358">
        <f t="shared" si="3"/>
        <v>0</v>
      </c>
      <c r="AA29" s="358">
        <f t="shared" si="21"/>
        <v>0</v>
      </c>
      <c r="AB29" s="358">
        <f t="shared" si="22"/>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3"/>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10"/>
        <v>0</v>
      </c>
      <c r="DF29" t="str">
        <f t="shared" si="11"/>
        <v/>
      </c>
      <c r="DG29">
        <f t="shared" si="12"/>
        <v>0</v>
      </c>
      <c r="DH29">
        <f t="shared" si="13"/>
        <v>0</v>
      </c>
      <c r="DI29" t="str">
        <f t="shared" si="14"/>
        <v/>
      </c>
      <c r="DJ29" t="str">
        <f t="shared" si="14"/>
        <v/>
      </c>
      <c r="DK29" t="str">
        <f t="shared" si="14"/>
        <v/>
      </c>
      <c r="DL29" t="str">
        <f t="shared" si="24"/>
        <v/>
      </c>
    </row>
    <row r="30" spans="1:116">
      <c r="A30" s="135">
        <f>IF(ISNUMBER(A29),A29+1,1)</f>
        <v>16</v>
      </c>
      <c r="B30" s="72" t="str">
        <f t="shared" si="0"/>
        <v>to</v>
      </c>
      <c r="C30" s="73" t="s">
        <v>217</v>
      </c>
      <c r="D30" s="74" t="str">
        <f t="shared" si="1"/>
        <v/>
      </c>
      <c r="E30" s="858"/>
      <c r="F30" s="859"/>
      <c r="G30" s="860"/>
      <c r="H30" s="175"/>
      <c r="I30" s="221"/>
      <c r="J30" s="221"/>
      <c r="K30" s="191">
        <f t="shared" si="16"/>
        <v>0</v>
      </c>
      <c r="L30" s="191">
        <f t="shared" si="17"/>
        <v>0</v>
      </c>
      <c r="M30" s="238"/>
      <c r="N30" s="357"/>
      <c r="O30" s="408"/>
      <c r="P30" s="195"/>
      <c r="Q30" s="196"/>
      <c r="R30" s="196"/>
      <c r="S30" s="192"/>
      <c r="T30" s="255"/>
      <c r="U30" s="193"/>
      <c r="V30">
        <f t="shared" si="18"/>
        <v>0</v>
      </c>
      <c r="W30">
        <f t="shared" si="2"/>
        <v>0</v>
      </c>
      <c r="X30" s="358">
        <f t="shared" si="19"/>
        <v>0</v>
      </c>
      <c r="Y30" s="358">
        <f t="shared" si="20"/>
        <v>0</v>
      </c>
      <c r="Z30" s="358">
        <f t="shared" si="3"/>
        <v>0</v>
      </c>
      <c r="AA30" s="358">
        <f t="shared" si="21"/>
        <v>0</v>
      </c>
      <c r="AB30" s="358">
        <f t="shared" si="22"/>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3"/>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10"/>
        <v>0</v>
      </c>
      <c r="DF30" t="str">
        <f t="shared" si="11"/>
        <v/>
      </c>
      <c r="DG30">
        <f t="shared" si="12"/>
        <v>0</v>
      </c>
      <c r="DH30">
        <f t="shared" si="13"/>
        <v>0</v>
      </c>
      <c r="DI30" t="str">
        <f t="shared" si="14"/>
        <v/>
      </c>
      <c r="DJ30" t="str">
        <f t="shared" si="14"/>
        <v/>
      </c>
      <c r="DK30" t="str">
        <f t="shared" si="14"/>
        <v/>
      </c>
      <c r="DL30" t="str">
        <f t="shared" si="24"/>
        <v/>
      </c>
    </row>
    <row r="31" spans="1:116">
      <c r="A31" s="135">
        <f t="shared" si="15"/>
        <v>17</v>
      </c>
      <c r="B31" s="72" t="str">
        <f t="shared" si="0"/>
        <v>fr</v>
      </c>
      <c r="C31" s="73" t="s">
        <v>217</v>
      </c>
      <c r="D31" s="74" t="str">
        <f t="shared" si="1"/>
        <v/>
      </c>
      <c r="E31" s="858"/>
      <c r="F31" s="859"/>
      <c r="G31" s="860"/>
      <c r="H31" s="175"/>
      <c r="I31" s="221"/>
      <c r="J31" s="221"/>
      <c r="K31" s="191">
        <f t="shared" si="16"/>
        <v>0</v>
      </c>
      <c r="L31" s="191">
        <f t="shared" si="17"/>
        <v>0</v>
      </c>
      <c r="M31" s="238"/>
      <c r="N31" s="357"/>
      <c r="O31" s="408"/>
      <c r="P31" s="195"/>
      <c r="Q31" s="196"/>
      <c r="R31" s="196"/>
      <c r="S31" s="192"/>
      <c r="T31" s="255"/>
      <c r="U31" s="193"/>
      <c r="V31">
        <f t="shared" si="18"/>
        <v>0</v>
      </c>
      <c r="W31">
        <f t="shared" si="2"/>
        <v>0</v>
      </c>
      <c r="X31" s="358">
        <f t="shared" si="19"/>
        <v>0</v>
      </c>
      <c r="Y31" s="358">
        <f t="shared" si="20"/>
        <v>0</v>
      </c>
      <c r="Z31" s="358">
        <f t="shared" si="3"/>
        <v>0</v>
      </c>
      <c r="AA31" s="358">
        <f t="shared" si="21"/>
        <v>0</v>
      </c>
      <c r="AB31" s="358">
        <f t="shared" si="22"/>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3"/>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10"/>
        <v>0</v>
      </c>
      <c r="DF31" t="str">
        <f t="shared" si="11"/>
        <v/>
      </c>
      <c r="DG31">
        <f t="shared" si="12"/>
        <v>0</v>
      </c>
      <c r="DH31">
        <f t="shared" si="13"/>
        <v>0</v>
      </c>
      <c r="DI31" t="str">
        <f t="shared" si="14"/>
        <v/>
      </c>
      <c r="DJ31" t="str">
        <f t="shared" si="14"/>
        <v/>
      </c>
      <c r="DK31" t="str">
        <f t="shared" si="14"/>
        <v/>
      </c>
      <c r="DL31" t="str">
        <f t="shared" si="24"/>
        <v/>
      </c>
    </row>
    <row r="32" spans="1:116">
      <c r="A32" s="135">
        <f t="shared" si="15"/>
        <v>18</v>
      </c>
      <c r="B32" s="72" t="str">
        <f t="shared" si="0"/>
        <v>lø</v>
      </c>
      <c r="C32" s="73" t="s">
        <v>77</v>
      </c>
      <c r="D32" s="74" t="str">
        <f t="shared" si="1"/>
        <v/>
      </c>
      <c r="E32" s="858"/>
      <c r="F32" s="859"/>
      <c r="G32" s="860"/>
      <c r="H32" s="175"/>
      <c r="I32" s="221"/>
      <c r="J32" s="221"/>
      <c r="K32" s="191">
        <f t="shared" si="16"/>
        <v>0</v>
      </c>
      <c r="L32" s="191">
        <f t="shared" si="17"/>
        <v>0</v>
      </c>
      <c r="M32" s="238"/>
      <c r="N32" s="357"/>
      <c r="O32" s="408"/>
      <c r="P32" s="195"/>
      <c r="Q32" s="196"/>
      <c r="R32" s="196"/>
      <c r="S32" s="192"/>
      <c r="T32" s="255"/>
      <c r="U32" s="193"/>
      <c r="V32">
        <f t="shared" si="18"/>
        <v>0</v>
      </c>
      <c r="W32">
        <f t="shared" si="2"/>
        <v>0</v>
      </c>
      <c r="X32" s="358">
        <f t="shared" si="19"/>
        <v>0</v>
      </c>
      <c r="Y32" s="358">
        <f t="shared" si="20"/>
        <v>0</v>
      </c>
      <c r="Z32" s="358">
        <f t="shared" si="3"/>
        <v>0</v>
      </c>
      <c r="AA32" s="358">
        <f t="shared" si="21"/>
        <v>0</v>
      </c>
      <c r="AB32" s="358">
        <f t="shared" si="22"/>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3"/>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10"/>
        <v>0</v>
      </c>
      <c r="DF32" t="str">
        <f t="shared" si="11"/>
        <v/>
      </c>
      <c r="DG32">
        <f t="shared" si="12"/>
        <v>0</v>
      </c>
      <c r="DH32">
        <f t="shared" si="13"/>
        <v>0</v>
      </c>
      <c r="DI32" t="str">
        <f t="shared" si="14"/>
        <v/>
      </c>
      <c r="DJ32" t="str">
        <f t="shared" si="14"/>
        <v/>
      </c>
      <c r="DK32" t="str">
        <f t="shared" si="14"/>
        <v/>
      </c>
      <c r="DL32" t="str">
        <f t="shared" si="24"/>
        <v/>
      </c>
    </row>
    <row r="33" spans="1:116">
      <c r="A33" s="135">
        <f t="shared" si="15"/>
        <v>19</v>
      </c>
      <c r="B33" s="72" t="str">
        <f t="shared" si="0"/>
        <v>sø</v>
      </c>
      <c r="C33" s="73" t="s">
        <v>77</v>
      </c>
      <c r="D33" s="74" t="str">
        <f t="shared" si="1"/>
        <v/>
      </c>
      <c r="E33" s="858"/>
      <c r="F33" s="859"/>
      <c r="G33" s="860"/>
      <c r="H33" s="175"/>
      <c r="I33" s="221"/>
      <c r="J33" s="221"/>
      <c r="K33" s="191">
        <f t="shared" si="16"/>
        <v>0</v>
      </c>
      <c r="L33" s="191">
        <f t="shared" si="17"/>
        <v>0</v>
      </c>
      <c r="M33" s="238"/>
      <c r="N33" s="357"/>
      <c r="O33" s="408"/>
      <c r="P33" s="195"/>
      <c r="Q33" s="196"/>
      <c r="R33" s="196"/>
      <c r="S33" s="192"/>
      <c r="T33" s="255"/>
      <c r="U33" s="193"/>
      <c r="V33">
        <f t="shared" si="18"/>
        <v>0</v>
      </c>
      <c r="W33">
        <f t="shared" si="2"/>
        <v>0</v>
      </c>
      <c r="X33" s="358">
        <f t="shared" si="19"/>
        <v>0</v>
      </c>
      <c r="Y33" s="358">
        <f t="shared" si="20"/>
        <v>0</v>
      </c>
      <c r="Z33" s="358">
        <f t="shared" si="3"/>
        <v>0</v>
      </c>
      <c r="AA33" s="358">
        <f t="shared" si="21"/>
        <v>0</v>
      </c>
      <c r="AB33" s="358">
        <f t="shared" si="22"/>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3"/>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10"/>
        <v>0</v>
      </c>
      <c r="DF33" t="str">
        <f t="shared" si="11"/>
        <v/>
      </c>
      <c r="DG33">
        <f t="shared" si="12"/>
        <v>0</v>
      </c>
      <c r="DH33">
        <f t="shared" si="13"/>
        <v>0</v>
      </c>
      <c r="DI33" t="str">
        <f t="shared" si="14"/>
        <v/>
      </c>
      <c r="DJ33" t="str">
        <f t="shared" si="14"/>
        <v/>
      </c>
      <c r="DK33" t="str">
        <f t="shared" si="14"/>
        <v/>
      </c>
      <c r="DL33" t="str">
        <f t="shared" si="24"/>
        <v/>
      </c>
    </row>
    <row r="34" spans="1:116">
      <c r="A34" s="135">
        <f t="shared" si="15"/>
        <v>20</v>
      </c>
      <c r="B34" s="72" t="str">
        <f t="shared" si="0"/>
        <v>ma</v>
      </c>
      <c r="C34" s="73" t="s">
        <v>217</v>
      </c>
      <c r="D34" s="74">
        <f t="shared" si="1"/>
        <v>16.571428571428573</v>
      </c>
      <c r="E34" s="858"/>
      <c r="F34" s="859"/>
      <c r="G34" s="860"/>
      <c r="H34" s="175"/>
      <c r="I34" s="221"/>
      <c r="J34" s="221"/>
      <c r="K34" s="191">
        <f t="shared" si="16"/>
        <v>0</v>
      </c>
      <c r="L34" s="191">
        <f t="shared" si="17"/>
        <v>0</v>
      </c>
      <c r="M34" s="238"/>
      <c r="N34" s="357"/>
      <c r="O34" s="408"/>
      <c r="P34" s="195"/>
      <c r="Q34" s="196"/>
      <c r="R34" s="196"/>
      <c r="S34" s="192"/>
      <c r="T34" s="255"/>
      <c r="U34" s="193"/>
      <c r="V34">
        <f t="shared" si="18"/>
        <v>0</v>
      </c>
      <c r="W34">
        <f t="shared" si="2"/>
        <v>0</v>
      </c>
      <c r="X34" s="358">
        <f t="shared" si="19"/>
        <v>0</v>
      </c>
      <c r="Y34" s="358">
        <f t="shared" si="20"/>
        <v>0</v>
      </c>
      <c r="Z34" s="358">
        <f t="shared" si="3"/>
        <v>0</v>
      </c>
      <c r="AA34" s="358">
        <f t="shared" si="21"/>
        <v>0</v>
      </c>
      <c r="AB34" s="358">
        <f t="shared" si="22"/>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3"/>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10"/>
        <v>0</v>
      </c>
      <c r="DF34" t="str">
        <f t="shared" si="11"/>
        <v/>
      </c>
      <c r="DG34">
        <f t="shared" si="12"/>
        <v>0</v>
      </c>
      <c r="DH34">
        <f t="shared" si="13"/>
        <v>0</v>
      </c>
      <c r="DI34" t="str">
        <f t="shared" si="14"/>
        <v/>
      </c>
      <c r="DJ34" t="str">
        <f t="shared" si="14"/>
        <v/>
      </c>
      <c r="DK34" t="str">
        <f t="shared" si="14"/>
        <v/>
      </c>
      <c r="DL34" t="str">
        <f t="shared" si="24"/>
        <v/>
      </c>
    </row>
    <row r="35" spans="1:116">
      <c r="A35" s="135">
        <f t="shared" si="15"/>
        <v>21</v>
      </c>
      <c r="B35" s="72" t="str">
        <f t="shared" si="0"/>
        <v>ti</v>
      </c>
      <c r="C35" s="73" t="s">
        <v>217</v>
      </c>
      <c r="D35" s="74" t="str">
        <f t="shared" si="1"/>
        <v/>
      </c>
      <c r="E35" s="858"/>
      <c r="F35" s="859"/>
      <c r="G35" s="860"/>
      <c r="H35" s="175"/>
      <c r="I35" s="221"/>
      <c r="J35" s="221"/>
      <c r="K35" s="191">
        <f t="shared" si="16"/>
        <v>0</v>
      </c>
      <c r="L35" s="191">
        <f t="shared" si="17"/>
        <v>0</v>
      </c>
      <c r="M35" s="238"/>
      <c r="N35" s="357"/>
      <c r="O35" s="408"/>
      <c r="P35" s="195"/>
      <c r="Q35" s="196"/>
      <c r="R35" s="196"/>
      <c r="S35" s="192"/>
      <c r="T35" s="255"/>
      <c r="U35" s="193"/>
      <c r="V35">
        <f t="shared" si="18"/>
        <v>0</v>
      </c>
      <c r="W35">
        <f t="shared" si="2"/>
        <v>0</v>
      </c>
      <c r="X35" s="358">
        <f t="shared" si="19"/>
        <v>0</v>
      </c>
      <c r="Y35" s="358">
        <f t="shared" si="20"/>
        <v>0</v>
      </c>
      <c r="Z35" s="358">
        <f t="shared" si="3"/>
        <v>0</v>
      </c>
      <c r="AA35" s="358">
        <f t="shared" si="21"/>
        <v>0</v>
      </c>
      <c r="AB35" s="358">
        <f t="shared" si="22"/>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3"/>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10"/>
        <v>0</v>
      </c>
      <c r="DF35" t="str">
        <f t="shared" si="11"/>
        <v/>
      </c>
      <c r="DG35">
        <f t="shared" si="12"/>
        <v>0</v>
      </c>
      <c r="DH35">
        <f t="shared" si="13"/>
        <v>0</v>
      </c>
      <c r="DI35" t="str">
        <f t="shared" si="14"/>
        <v/>
      </c>
      <c r="DJ35" t="str">
        <f t="shared" si="14"/>
        <v/>
      </c>
      <c r="DK35" t="str">
        <f t="shared" si="14"/>
        <v/>
      </c>
      <c r="DL35" t="str">
        <f t="shared" si="24"/>
        <v/>
      </c>
    </row>
    <row r="36" spans="1:116">
      <c r="A36" s="135">
        <f t="shared" si="15"/>
        <v>22</v>
      </c>
      <c r="B36" s="72" t="str">
        <f t="shared" si="0"/>
        <v>on</v>
      </c>
      <c r="C36" s="73" t="s">
        <v>217</v>
      </c>
      <c r="D36" s="74" t="str">
        <f t="shared" si="1"/>
        <v/>
      </c>
      <c r="E36" s="858"/>
      <c r="F36" s="859"/>
      <c r="G36" s="860"/>
      <c r="H36" s="175"/>
      <c r="I36" s="221"/>
      <c r="J36" s="221"/>
      <c r="K36" s="191">
        <f t="shared" si="16"/>
        <v>0</v>
      </c>
      <c r="L36" s="191">
        <f t="shared" si="17"/>
        <v>0</v>
      </c>
      <c r="M36" s="238"/>
      <c r="N36" s="357"/>
      <c r="O36" s="408"/>
      <c r="P36" s="195"/>
      <c r="Q36" s="196"/>
      <c r="R36" s="196"/>
      <c r="S36" s="192"/>
      <c r="T36" s="255"/>
      <c r="U36" s="193"/>
      <c r="V36">
        <f t="shared" si="18"/>
        <v>0</v>
      </c>
      <c r="W36">
        <f t="shared" si="2"/>
        <v>0</v>
      </c>
      <c r="X36" s="358">
        <f t="shared" si="19"/>
        <v>0</v>
      </c>
      <c r="Y36" s="358">
        <f t="shared" si="20"/>
        <v>0</v>
      </c>
      <c r="Z36" s="358">
        <f t="shared" si="3"/>
        <v>0</v>
      </c>
      <c r="AA36" s="358">
        <f t="shared" si="21"/>
        <v>0</v>
      </c>
      <c r="AB36" s="358">
        <f t="shared" si="22"/>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3"/>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10"/>
        <v>0</v>
      </c>
      <c r="DF36" t="str">
        <f t="shared" si="11"/>
        <v/>
      </c>
      <c r="DG36">
        <f t="shared" si="12"/>
        <v>0</v>
      </c>
      <c r="DH36">
        <f t="shared" si="13"/>
        <v>0</v>
      </c>
      <c r="DI36" t="str">
        <f t="shared" si="14"/>
        <v/>
      </c>
      <c r="DJ36" t="str">
        <f t="shared" si="14"/>
        <v/>
      </c>
      <c r="DK36" t="str">
        <f t="shared" si="14"/>
        <v/>
      </c>
      <c r="DL36" t="str">
        <f t="shared" si="24"/>
        <v/>
      </c>
    </row>
    <row r="37" spans="1:116">
      <c r="A37" s="135">
        <f t="shared" si="15"/>
        <v>23</v>
      </c>
      <c r="B37" s="72" t="str">
        <f t="shared" si="0"/>
        <v>to</v>
      </c>
      <c r="C37" s="73" t="s">
        <v>217</v>
      </c>
      <c r="D37" s="74" t="str">
        <f t="shared" si="1"/>
        <v/>
      </c>
      <c r="E37" s="858"/>
      <c r="F37" s="859"/>
      <c r="G37" s="860"/>
      <c r="H37" s="175"/>
      <c r="I37" s="221"/>
      <c r="J37" s="221"/>
      <c r="K37" s="191">
        <f t="shared" si="16"/>
        <v>0</v>
      </c>
      <c r="L37" s="191">
        <f t="shared" si="17"/>
        <v>0</v>
      </c>
      <c r="M37" s="238"/>
      <c r="N37" s="357"/>
      <c r="O37" s="408"/>
      <c r="P37" s="195"/>
      <c r="Q37" s="196"/>
      <c r="R37" s="196"/>
      <c r="S37" s="192"/>
      <c r="T37" s="255"/>
      <c r="U37" s="193"/>
      <c r="V37">
        <f t="shared" si="18"/>
        <v>0</v>
      </c>
      <c r="W37">
        <f t="shared" si="2"/>
        <v>0</v>
      </c>
      <c r="X37" s="358">
        <f t="shared" si="19"/>
        <v>0</v>
      </c>
      <c r="Y37" s="358">
        <f t="shared" si="20"/>
        <v>0</v>
      </c>
      <c r="Z37" s="358">
        <f t="shared" si="3"/>
        <v>0</v>
      </c>
      <c r="AA37" s="358">
        <f t="shared" si="21"/>
        <v>0</v>
      </c>
      <c r="AB37" s="358">
        <f t="shared" si="22"/>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3"/>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10"/>
        <v>0</v>
      </c>
      <c r="DF37" t="str">
        <f t="shared" si="11"/>
        <v/>
      </c>
      <c r="DG37">
        <f t="shared" si="12"/>
        <v>0</v>
      </c>
      <c r="DH37">
        <f t="shared" si="13"/>
        <v>0</v>
      </c>
      <c r="DI37" t="str">
        <f t="shared" si="14"/>
        <v/>
      </c>
      <c r="DJ37" t="str">
        <f t="shared" si="14"/>
        <v/>
      </c>
      <c r="DK37" t="str">
        <f t="shared" si="14"/>
        <v/>
      </c>
      <c r="DL37" t="str">
        <f t="shared" si="24"/>
        <v/>
      </c>
    </row>
    <row r="38" spans="1:116">
      <c r="A38" s="135">
        <f t="shared" si="15"/>
        <v>24</v>
      </c>
      <c r="B38" s="72" t="str">
        <f t="shared" si="0"/>
        <v>fr</v>
      </c>
      <c r="C38" s="73" t="s">
        <v>217</v>
      </c>
      <c r="D38" s="74" t="str">
        <f t="shared" si="1"/>
        <v/>
      </c>
      <c r="E38" s="861"/>
      <c r="F38" s="862"/>
      <c r="G38" s="863"/>
      <c r="H38" s="175"/>
      <c r="I38" s="221"/>
      <c r="J38" s="221"/>
      <c r="K38" s="191">
        <f t="shared" si="16"/>
        <v>0</v>
      </c>
      <c r="L38" s="191">
        <f t="shared" si="17"/>
        <v>0</v>
      </c>
      <c r="M38" s="238"/>
      <c r="N38" s="357"/>
      <c r="O38" s="408"/>
      <c r="P38" s="195"/>
      <c r="Q38" s="196"/>
      <c r="R38" s="196"/>
      <c r="S38" s="192"/>
      <c r="T38" s="255"/>
      <c r="U38" s="193"/>
      <c r="V38">
        <f t="shared" si="18"/>
        <v>0</v>
      </c>
      <c r="W38">
        <f t="shared" si="2"/>
        <v>0</v>
      </c>
      <c r="X38" s="358">
        <f t="shared" si="19"/>
        <v>0</v>
      </c>
      <c r="Y38" s="358">
        <f t="shared" si="20"/>
        <v>0</v>
      </c>
      <c r="Z38" s="358">
        <f t="shared" si="3"/>
        <v>0</v>
      </c>
      <c r="AA38" s="358">
        <f t="shared" si="21"/>
        <v>0</v>
      </c>
      <c r="AB38" s="358">
        <f t="shared" si="22"/>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3"/>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10"/>
        <v>0</v>
      </c>
      <c r="DF38" t="str">
        <f t="shared" si="11"/>
        <v/>
      </c>
      <c r="DG38">
        <f t="shared" si="12"/>
        <v>0</v>
      </c>
      <c r="DH38">
        <f t="shared" si="13"/>
        <v>0</v>
      </c>
      <c r="DI38" t="str">
        <f t="shared" si="14"/>
        <v/>
      </c>
      <c r="DJ38" t="str">
        <f t="shared" si="14"/>
        <v/>
      </c>
      <c r="DK38" t="str">
        <f t="shared" si="14"/>
        <v/>
      </c>
      <c r="DL38" t="str">
        <f t="shared" si="24"/>
        <v/>
      </c>
    </row>
    <row r="39" spans="1:116">
      <c r="A39" s="135">
        <f t="shared" si="15"/>
        <v>25</v>
      </c>
      <c r="B39" s="72" t="str">
        <f t="shared" si="0"/>
        <v>lø</v>
      </c>
      <c r="C39" s="73" t="s">
        <v>77</v>
      </c>
      <c r="D39" s="74" t="str">
        <f t="shared" si="1"/>
        <v/>
      </c>
      <c r="E39" s="858"/>
      <c r="F39" s="859"/>
      <c r="G39" s="860"/>
      <c r="H39" s="175"/>
      <c r="I39" s="221"/>
      <c r="J39" s="221"/>
      <c r="K39" s="191">
        <f t="shared" si="16"/>
        <v>0</v>
      </c>
      <c r="L39" s="191">
        <f t="shared" si="17"/>
        <v>0</v>
      </c>
      <c r="M39" s="238"/>
      <c r="N39" s="357"/>
      <c r="O39" s="408"/>
      <c r="P39" s="195"/>
      <c r="Q39" s="196"/>
      <c r="R39" s="196"/>
      <c r="S39" s="192"/>
      <c r="T39" s="255"/>
      <c r="U39" s="193"/>
      <c r="V39">
        <f t="shared" si="18"/>
        <v>0</v>
      </c>
      <c r="W39">
        <f t="shared" si="2"/>
        <v>0</v>
      </c>
      <c r="X39" s="358">
        <f t="shared" si="19"/>
        <v>0</v>
      </c>
      <c r="Y39" s="358">
        <f t="shared" si="20"/>
        <v>0</v>
      </c>
      <c r="Z39" s="358">
        <f t="shared" si="3"/>
        <v>0</v>
      </c>
      <c r="AA39" s="358">
        <f t="shared" si="21"/>
        <v>0</v>
      </c>
      <c r="AB39" s="358">
        <f t="shared" si="22"/>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3"/>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10"/>
        <v>0</v>
      </c>
      <c r="DF39" t="str">
        <f t="shared" si="11"/>
        <v/>
      </c>
      <c r="DG39">
        <f t="shared" si="12"/>
        <v>0</v>
      </c>
      <c r="DH39">
        <f t="shared" si="13"/>
        <v>0</v>
      </c>
      <c r="DI39" t="str">
        <f t="shared" si="14"/>
        <v/>
      </c>
      <c r="DJ39" t="str">
        <f t="shared" si="14"/>
        <v/>
      </c>
      <c r="DK39" t="str">
        <f t="shared" si="14"/>
        <v/>
      </c>
      <c r="DL39" t="str">
        <f t="shared" si="24"/>
        <v/>
      </c>
    </row>
    <row r="40" spans="1:116">
      <c r="A40" s="135">
        <f t="shared" si="15"/>
        <v>26</v>
      </c>
      <c r="B40" s="72" t="str">
        <f t="shared" si="0"/>
        <v>sø</v>
      </c>
      <c r="C40" s="73" t="s">
        <v>77</v>
      </c>
      <c r="D40" s="74" t="str">
        <f t="shared" si="1"/>
        <v/>
      </c>
      <c r="E40" s="858"/>
      <c r="F40" s="859"/>
      <c r="G40" s="860"/>
      <c r="H40" s="175"/>
      <c r="I40" s="221"/>
      <c r="J40" s="221"/>
      <c r="K40" s="191">
        <f t="shared" si="16"/>
        <v>0</v>
      </c>
      <c r="L40" s="191">
        <f t="shared" si="17"/>
        <v>0</v>
      </c>
      <c r="M40" s="238"/>
      <c r="N40" s="357"/>
      <c r="O40" s="408"/>
      <c r="P40" s="195"/>
      <c r="Q40" s="196"/>
      <c r="R40" s="196"/>
      <c r="S40" s="192"/>
      <c r="T40" s="255"/>
      <c r="U40" s="193"/>
      <c r="V40">
        <f t="shared" si="18"/>
        <v>0</v>
      </c>
      <c r="W40">
        <f t="shared" si="2"/>
        <v>0</v>
      </c>
      <c r="X40" s="358">
        <f t="shared" si="19"/>
        <v>0</v>
      </c>
      <c r="Y40" s="358">
        <f t="shared" si="20"/>
        <v>0</v>
      </c>
      <c r="Z40" s="358">
        <f t="shared" si="3"/>
        <v>0</v>
      </c>
      <c r="AA40" s="358">
        <f t="shared" si="21"/>
        <v>0</v>
      </c>
      <c r="AB40" s="358">
        <f t="shared" si="22"/>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3"/>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10"/>
        <v>0</v>
      </c>
      <c r="DF40" t="str">
        <f t="shared" si="11"/>
        <v/>
      </c>
      <c r="DG40">
        <f t="shared" si="12"/>
        <v>0</v>
      </c>
      <c r="DH40">
        <f t="shared" si="13"/>
        <v>0</v>
      </c>
      <c r="DI40" t="str">
        <f t="shared" si="14"/>
        <v/>
      </c>
      <c r="DJ40" t="str">
        <f t="shared" si="14"/>
        <v/>
      </c>
      <c r="DK40" t="str">
        <f t="shared" si="14"/>
        <v/>
      </c>
      <c r="DL40" t="str">
        <f t="shared" si="24"/>
        <v/>
      </c>
    </row>
    <row r="41" spans="1:116">
      <c r="A41" s="135">
        <f t="shared" si="15"/>
        <v>27</v>
      </c>
      <c r="B41" s="72" t="str">
        <f t="shared" si="0"/>
        <v>ma</v>
      </c>
      <c r="C41" s="73" t="s">
        <v>217</v>
      </c>
      <c r="D41" s="74">
        <f t="shared" si="1"/>
        <v>17.571428571428573</v>
      </c>
      <c r="E41" s="858"/>
      <c r="F41" s="859"/>
      <c r="G41" s="860"/>
      <c r="H41" s="175"/>
      <c r="I41" s="221"/>
      <c r="J41" s="221"/>
      <c r="K41" s="191">
        <f t="shared" si="16"/>
        <v>0</v>
      </c>
      <c r="L41" s="191">
        <f t="shared" si="17"/>
        <v>0</v>
      </c>
      <c r="M41" s="238"/>
      <c r="N41" s="357"/>
      <c r="O41" s="408"/>
      <c r="P41" s="195"/>
      <c r="Q41" s="196"/>
      <c r="R41" s="196"/>
      <c r="S41" s="192"/>
      <c r="T41" s="255"/>
      <c r="U41" s="193"/>
      <c r="V41">
        <f t="shared" si="18"/>
        <v>0</v>
      </c>
      <c r="W41">
        <f t="shared" si="2"/>
        <v>0</v>
      </c>
      <c r="X41" s="358">
        <f t="shared" si="19"/>
        <v>0</v>
      </c>
      <c r="Y41" s="358">
        <f t="shared" si="20"/>
        <v>0</v>
      </c>
      <c r="Z41" s="358">
        <f t="shared" si="3"/>
        <v>0</v>
      </c>
      <c r="AA41" s="358">
        <f t="shared" si="21"/>
        <v>0</v>
      </c>
      <c r="AB41" s="358">
        <f t="shared" si="22"/>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3"/>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10"/>
        <v>0</v>
      </c>
      <c r="DF41" t="str">
        <f t="shared" si="11"/>
        <v/>
      </c>
      <c r="DG41">
        <f t="shared" si="12"/>
        <v>0</v>
      </c>
      <c r="DH41">
        <f t="shared" si="13"/>
        <v>0</v>
      </c>
      <c r="DI41" t="str">
        <f t="shared" si="14"/>
        <v/>
      </c>
      <c r="DJ41" t="str">
        <f t="shared" si="14"/>
        <v/>
      </c>
      <c r="DK41" t="str">
        <f t="shared" si="14"/>
        <v/>
      </c>
      <c r="DL41" t="str">
        <f t="shared" si="24"/>
        <v/>
      </c>
    </row>
    <row r="42" spans="1:116">
      <c r="A42" s="135">
        <f t="shared" si="15"/>
        <v>28</v>
      </c>
      <c r="B42" s="72" t="str">
        <f t="shared" si="0"/>
        <v>ti</v>
      </c>
      <c r="C42" s="73" t="s">
        <v>217</v>
      </c>
      <c r="D42" s="74" t="str">
        <f t="shared" si="1"/>
        <v/>
      </c>
      <c r="E42" s="858"/>
      <c r="F42" s="859"/>
      <c r="G42" s="860"/>
      <c r="H42" s="175"/>
      <c r="I42" s="221"/>
      <c r="J42" s="221"/>
      <c r="K42" s="191">
        <f t="shared" si="16"/>
        <v>0</v>
      </c>
      <c r="L42" s="191">
        <f t="shared" si="17"/>
        <v>0</v>
      </c>
      <c r="M42" s="238"/>
      <c r="N42" s="357"/>
      <c r="O42" s="408"/>
      <c r="P42" s="195"/>
      <c r="Q42" s="196"/>
      <c r="R42" s="196"/>
      <c r="S42" s="192"/>
      <c r="T42" s="255"/>
      <c r="U42" s="193"/>
      <c r="V42">
        <f t="shared" si="18"/>
        <v>0</v>
      </c>
      <c r="W42">
        <f t="shared" si="2"/>
        <v>0</v>
      </c>
      <c r="X42" s="358">
        <f t="shared" si="19"/>
        <v>0</v>
      </c>
      <c r="Y42" s="358">
        <f t="shared" si="20"/>
        <v>0</v>
      </c>
      <c r="Z42" s="358">
        <f t="shared" si="3"/>
        <v>0</v>
      </c>
      <c r="AA42" s="358">
        <f t="shared" si="21"/>
        <v>0</v>
      </c>
      <c r="AB42" s="358">
        <f t="shared" si="22"/>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3"/>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10"/>
        <v>0</v>
      </c>
      <c r="DF42" t="str">
        <f t="shared" si="11"/>
        <v/>
      </c>
      <c r="DG42">
        <f t="shared" si="12"/>
        <v>0</v>
      </c>
      <c r="DH42">
        <f t="shared" si="13"/>
        <v>0</v>
      </c>
      <c r="DI42" t="str">
        <f t="shared" si="14"/>
        <v/>
      </c>
      <c r="DJ42" t="str">
        <f t="shared" si="14"/>
        <v/>
      </c>
      <c r="DK42" t="str">
        <f t="shared" si="14"/>
        <v/>
      </c>
      <c r="DL42" t="str">
        <f t="shared" si="24"/>
        <v/>
      </c>
    </row>
    <row r="43" spans="1:116">
      <c r="A43" s="135">
        <f>IF(ISNUMBER(A42),A42+1,1)</f>
        <v>29</v>
      </c>
      <c r="B43" s="72" t="str">
        <f t="shared" si="0"/>
        <v>on</v>
      </c>
      <c r="C43" s="73" t="s">
        <v>217</v>
      </c>
      <c r="D43" s="74" t="str">
        <f t="shared" si="1"/>
        <v/>
      </c>
      <c r="E43" s="858"/>
      <c r="F43" s="859"/>
      <c r="G43" s="860"/>
      <c r="H43" s="175"/>
      <c r="I43" s="221"/>
      <c r="J43" s="221"/>
      <c r="K43" s="191">
        <f t="shared" si="16"/>
        <v>0</v>
      </c>
      <c r="L43" s="191">
        <f t="shared" si="17"/>
        <v>0</v>
      </c>
      <c r="M43" s="238"/>
      <c r="N43" s="357"/>
      <c r="O43" s="408"/>
      <c r="P43" s="195"/>
      <c r="Q43" s="196"/>
      <c r="R43" s="196"/>
      <c r="S43" s="192"/>
      <c r="T43" s="255"/>
      <c r="U43" s="193"/>
      <c r="V43">
        <f t="shared" si="18"/>
        <v>0</v>
      </c>
      <c r="W43">
        <f t="shared" si="2"/>
        <v>0</v>
      </c>
      <c r="X43" s="358">
        <f t="shared" si="19"/>
        <v>0</v>
      </c>
      <c r="Y43" s="358">
        <f t="shared" si="20"/>
        <v>0</v>
      </c>
      <c r="Z43" s="358">
        <f t="shared" si="3"/>
        <v>0</v>
      </c>
      <c r="AA43" s="358">
        <f t="shared" si="21"/>
        <v>0</v>
      </c>
      <c r="AB43" s="358">
        <f t="shared" si="22"/>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3"/>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10"/>
        <v>0</v>
      </c>
      <c r="DF43" t="str">
        <f t="shared" si="11"/>
        <v/>
      </c>
      <c r="DG43">
        <f t="shared" si="12"/>
        <v>0</v>
      </c>
      <c r="DH43">
        <f t="shared" si="13"/>
        <v>0</v>
      </c>
      <c r="DI43" t="str">
        <f t="shared" si="14"/>
        <v/>
      </c>
      <c r="DJ43" t="str">
        <f t="shared" si="14"/>
        <v/>
      </c>
      <c r="DK43" t="str">
        <f t="shared" si="14"/>
        <v/>
      </c>
      <c r="DL43" t="str">
        <f t="shared" si="24"/>
        <v/>
      </c>
    </row>
    <row r="44" spans="1:116">
      <c r="A44" s="135">
        <f t="shared" si="15"/>
        <v>30</v>
      </c>
      <c r="B44" s="72" t="str">
        <f t="shared" si="0"/>
        <v>to</v>
      </c>
      <c r="C44" s="73" t="s">
        <v>217</v>
      </c>
      <c r="D44" s="74" t="str">
        <f t="shared" si="1"/>
        <v/>
      </c>
      <c r="E44" s="858"/>
      <c r="F44" s="859"/>
      <c r="G44" s="860"/>
      <c r="H44" s="175"/>
      <c r="I44" s="221"/>
      <c r="J44" s="221"/>
      <c r="K44" s="191">
        <f t="shared" si="16"/>
        <v>0</v>
      </c>
      <c r="L44" s="191">
        <f t="shared" si="17"/>
        <v>0</v>
      </c>
      <c r="M44" s="238"/>
      <c r="N44" s="357"/>
      <c r="O44" s="408"/>
      <c r="P44" s="195"/>
      <c r="Q44" s="196"/>
      <c r="R44" s="254"/>
      <c r="S44" s="192"/>
      <c r="T44" s="255"/>
      <c r="U44" s="193"/>
      <c r="V44">
        <f t="shared" si="18"/>
        <v>0</v>
      </c>
      <c r="W44">
        <f t="shared" si="2"/>
        <v>0</v>
      </c>
      <c r="X44" s="358">
        <f t="shared" si="19"/>
        <v>0</v>
      </c>
      <c r="Y44" s="358">
        <f t="shared" si="20"/>
        <v>0</v>
      </c>
      <c r="Z44" s="358">
        <f t="shared" si="3"/>
        <v>0</v>
      </c>
      <c r="AA44" s="358">
        <f t="shared" si="21"/>
        <v>0</v>
      </c>
      <c r="AB44" s="358">
        <f t="shared" si="22"/>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3"/>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10"/>
        <v>0</v>
      </c>
      <c r="DF44" t="str">
        <f t="shared" si="11"/>
        <v/>
      </c>
      <c r="DG44">
        <f t="shared" si="12"/>
        <v>0</v>
      </c>
      <c r="DH44">
        <f t="shared" si="13"/>
        <v>0</v>
      </c>
      <c r="DI44" t="str">
        <f t="shared" si="14"/>
        <v/>
      </c>
      <c r="DJ44" t="str">
        <f t="shared" si="14"/>
        <v/>
      </c>
      <c r="DK44" t="str">
        <f t="shared" si="14"/>
        <v/>
      </c>
      <c r="DL44" t="str">
        <f t="shared" si="24"/>
        <v/>
      </c>
    </row>
    <row r="45" spans="1:116" ht="17" thickBot="1">
      <c r="A45" s="368" t="s">
        <v>127</v>
      </c>
      <c r="B45" s="369"/>
      <c r="C45" s="369"/>
      <c r="D45" s="369"/>
      <c r="E45" s="369"/>
      <c r="F45" s="369"/>
      <c r="G45" s="369"/>
      <c r="H45" s="369"/>
      <c r="I45" s="194"/>
      <c r="J45" s="194"/>
      <c r="K45" s="194">
        <f>SUM(K15:K44)</f>
        <v>0</v>
      </c>
      <c r="L45" s="194">
        <f>SUM(L15:L44)</f>
        <v>0</v>
      </c>
      <c r="M45"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f>
        <v>0</v>
      </c>
      <c r="N45" s="411"/>
      <c r="O45" s="412">
        <f>SUM(O15:O44)</f>
        <v>0</v>
      </c>
      <c r="P45" s="249"/>
      <c r="Q45" s="250"/>
      <c r="R45" s="250"/>
      <c r="S45"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f>
        <v>0</v>
      </c>
      <c r="T45"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f>
        <v>0</v>
      </c>
      <c r="U45"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f>
        <v>0</v>
      </c>
      <c r="V45" s="115">
        <f>SUM(V15:V44)</f>
        <v>0</v>
      </c>
      <c r="W45" s="228">
        <f>W15+W16+W17+W18+W19+W20+W21+W22+W23+W24+W25+W26+W27+W28+W29+W30+W31+W32+W33+W34+W35+W36+W37+W38+W39+W40+W41+W42+W43+W44</f>
        <v>0</v>
      </c>
      <c r="X45" s="129">
        <f t="shared" ref="X45:AC45" si="25">SUM(X15:X44)</f>
        <v>0</v>
      </c>
      <c r="Y45" s="129">
        <f t="shared" si="25"/>
        <v>0</v>
      </c>
      <c r="Z45" s="129">
        <f t="shared" si="25"/>
        <v>0</v>
      </c>
      <c r="AA45" s="129">
        <f t="shared" si="25"/>
        <v>0</v>
      </c>
      <c r="AB45" s="129">
        <f t="shared" si="25"/>
        <v>0</v>
      </c>
      <c r="AC45" s="129">
        <f t="shared" si="25"/>
        <v>0</v>
      </c>
      <c r="AD45">
        <f t="shared" ref="AD45:AI45" si="26">COUNTIF(AD14:AD44,"&gt;0")</f>
        <v>0</v>
      </c>
      <c r="AE45">
        <f t="shared" si="26"/>
        <v>0</v>
      </c>
      <c r="AF45">
        <f t="shared" si="26"/>
        <v>0</v>
      </c>
      <c r="AG45">
        <f t="shared" si="26"/>
        <v>0</v>
      </c>
      <c r="AH45">
        <f t="shared" si="26"/>
        <v>0</v>
      </c>
      <c r="AI45">
        <f t="shared" si="26"/>
        <v>0</v>
      </c>
      <c r="AJ45">
        <f>COUNTIF(AJ14:AJ44,"&gt;0")</f>
        <v>0</v>
      </c>
      <c r="AK45">
        <f t="shared" ref="AK45:BC45" si="27">COUNTIF(AK14:AK44,"&gt;0")</f>
        <v>0</v>
      </c>
      <c r="AL45">
        <f t="shared" si="27"/>
        <v>0</v>
      </c>
      <c r="AM45">
        <f t="shared" si="27"/>
        <v>0</v>
      </c>
      <c r="AN45">
        <f t="shared" si="27"/>
        <v>0</v>
      </c>
      <c r="AO45">
        <f t="shared" si="27"/>
        <v>0</v>
      </c>
      <c r="AP45">
        <f t="shared" si="27"/>
        <v>0</v>
      </c>
      <c r="AQ45">
        <f t="shared" si="27"/>
        <v>0</v>
      </c>
      <c r="AR45">
        <f t="shared" si="27"/>
        <v>0</v>
      </c>
      <c r="AS45">
        <f t="shared" si="27"/>
        <v>0</v>
      </c>
      <c r="AT45">
        <f t="shared" si="27"/>
        <v>0</v>
      </c>
      <c r="AU45">
        <f t="shared" si="27"/>
        <v>0</v>
      </c>
      <c r="AV45">
        <f t="shared" si="27"/>
        <v>0</v>
      </c>
      <c r="AW45">
        <f t="shared" si="27"/>
        <v>0</v>
      </c>
      <c r="AX45">
        <f t="shared" si="27"/>
        <v>0</v>
      </c>
      <c r="AY45">
        <f t="shared" si="27"/>
        <v>0</v>
      </c>
      <c r="AZ45">
        <f t="shared" si="27"/>
        <v>0</v>
      </c>
      <c r="BA45">
        <f t="shared" si="27"/>
        <v>0</v>
      </c>
      <c r="BB45">
        <f t="shared" si="27"/>
        <v>0</v>
      </c>
      <c r="BC45">
        <f t="shared" si="27"/>
        <v>0</v>
      </c>
      <c r="BD45">
        <f t="shared" ref="BD45:BM45" si="28">COUNTIF(BD15:BD44,"&gt;0")</f>
        <v>0</v>
      </c>
      <c r="BE45">
        <f t="shared" si="28"/>
        <v>0</v>
      </c>
      <c r="BF45">
        <f t="shared" si="28"/>
        <v>0</v>
      </c>
      <c r="BG45">
        <f t="shared" si="28"/>
        <v>0</v>
      </c>
      <c r="BH45">
        <f t="shared" si="28"/>
        <v>0</v>
      </c>
      <c r="BI45">
        <f t="shared" si="28"/>
        <v>0</v>
      </c>
      <c r="BJ45">
        <f t="shared" si="28"/>
        <v>0</v>
      </c>
      <c r="BK45">
        <f t="shared" si="28"/>
        <v>0</v>
      </c>
      <c r="BL45">
        <f t="shared" si="28"/>
        <v>0</v>
      </c>
      <c r="BM45">
        <f t="shared" si="28"/>
        <v>0</v>
      </c>
      <c r="BN45" s="1">
        <f>SUM(BN15:BN44)</f>
        <v>0</v>
      </c>
      <c r="BO45" s="62"/>
      <c r="BP45" s="129">
        <f>SUM(BP15:BP44)</f>
        <v>0</v>
      </c>
      <c r="BQ45" s="129">
        <f>SUM(BQ15:BQ44)</f>
        <v>0</v>
      </c>
      <c r="BR45" s="129">
        <f>SUM(BR15:BR44)</f>
        <v>0</v>
      </c>
      <c r="BS45" s="129">
        <f>SUM(BS15:BS44)</f>
        <v>0</v>
      </c>
      <c r="BT45" s="129">
        <f>SUM(BT15:BT44)</f>
        <v>0</v>
      </c>
      <c r="BU45" s="129"/>
      <c r="BV45" s="129"/>
      <c r="BW45" s="129"/>
      <c r="BX45" s="129"/>
      <c r="BY45" s="129"/>
      <c r="BZ45" s="129"/>
      <c r="CA45">
        <f>COUNTIF(CA14:CA44,"&gt;0")</f>
        <v>0</v>
      </c>
      <c r="CB45">
        <f t="shared" ref="CB45:CT45" si="29">COUNTIF(CB14:CB44,"&gt;0")</f>
        <v>0</v>
      </c>
      <c r="CC45">
        <f t="shared" si="29"/>
        <v>0</v>
      </c>
      <c r="CD45">
        <f t="shared" si="29"/>
        <v>0</v>
      </c>
      <c r="CE45">
        <f t="shared" si="29"/>
        <v>0</v>
      </c>
      <c r="CF45">
        <f t="shared" si="29"/>
        <v>0</v>
      </c>
      <c r="CG45">
        <f t="shared" si="29"/>
        <v>0</v>
      </c>
      <c r="CH45">
        <f t="shared" si="29"/>
        <v>0</v>
      </c>
      <c r="CI45">
        <f t="shared" si="29"/>
        <v>0</v>
      </c>
      <c r="CJ45">
        <f t="shared" si="29"/>
        <v>0</v>
      </c>
      <c r="CK45">
        <f t="shared" si="29"/>
        <v>0</v>
      </c>
      <c r="CL45">
        <f t="shared" si="29"/>
        <v>0</v>
      </c>
      <c r="CM45">
        <f t="shared" si="29"/>
        <v>0</v>
      </c>
      <c r="CN45">
        <f t="shared" si="29"/>
        <v>0</v>
      </c>
      <c r="CO45">
        <f t="shared" si="29"/>
        <v>0</v>
      </c>
      <c r="CP45">
        <f t="shared" si="29"/>
        <v>0</v>
      </c>
      <c r="CQ45">
        <f t="shared" si="29"/>
        <v>0</v>
      </c>
      <c r="CR45">
        <f t="shared" si="29"/>
        <v>0</v>
      </c>
      <c r="CS45">
        <f t="shared" si="29"/>
        <v>0</v>
      </c>
      <c r="CT45">
        <f t="shared" si="29"/>
        <v>0</v>
      </c>
      <c r="CU45">
        <f t="shared" ref="CU45:DD45" si="30">COUNTIF(CU15:CU44,"&gt;0")</f>
        <v>0</v>
      </c>
      <c r="CV45">
        <f t="shared" si="30"/>
        <v>0</v>
      </c>
      <c r="CW45">
        <f t="shared" si="30"/>
        <v>0</v>
      </c>
      <c r="CX45">
        <f t="shared" si="30"/>
        <v>0</v>
      </c>
      <c r="CY45">
        <f t="shared" si="30"/>
        <v>0</v>
      </c>
      <c r="CZ45">
        <f t="shared" si="30"/>
        <v>0</v>
      </c>
      <c r="DA45">
        <f t="shared" si="30"/>
        <v>0</v>
      </c>
      <c r="DB45">
        <f t="shared" si="30"/>
        <v>0</v>
      </c>
      <c r="DC45">
        <f t="shared" si="30"/>
        <v>0</v>
      </c>
      <c r="DD45">
        <f t="shared" si="30"/>
        <v>0</v>
      </c>
      <c r="DE45" s="129">
        <f>SUM(DE15:DE44)</f>
        <v>0</v>
      </c>
      <c r="DJ45" t="str">
        <f t="shared" si="14"/>
        <v/>
      </c>
      <c r="DK45" t="str">
        <f t="shared" si="14"/>
        <v/>
      </c>
      <c r="DL45" t="str">
        <f t="shared" ref="DL45" si="31">DI45&amp;" "&amp;DJ45&amp;" "&amp;DK45</f>
        <v xml:space="preserve">  </v>
      </c>
    </row>
    <row r="46" spans="1:116" ht="17" thickBot="1">
      <c r="A46" s="128"/>
      <c r="B46" s="128"/>
      <c r="C46" s="128"/>
      <c r="D46" s="128"/>
      <c r="E46" s="128"/>
      <c r="F46" s="128"/>
      <c r="G46" s="128"/>
      <c r="H46" s="128"/>
      <c r="I46" s="128"/>
      <c r="J46" s="128"/>
      <c r="K46" s="130"/>
      <c r="L46" s="130"/>
      <c r="M46" s="130"/>
      <c r="N46" s="257"/>
      <c r="O46" s="257"/>
      <c r="P46" s="130"/>
      <c r="Q46" s="130"/>
      <c r="R46" s="130"/>
      <c r="S46" s="130"/>
      <c r="T46" s="130"/>
      <c r="U46" s="130"/>
      <c r="V46" s="130"/>
      <c r="W46" s="130"/>
      <c r="X46" s="130"/>
      <c r="Y46" s="130"/>
      <c r="Z46" s="257"/>
      <c r="AA46" s="137"/>
      <c r="AB46" s="115"/>
      <c r="AC46" s="129"/>
      <c r="AD46" s="115"/>
      <c r="AE46" s="115"/>
      <c r="AF46" s="129"/>
      <c r="AG46" s="129"/>
      <c r="AH46" s="129"/>
      <c r="AI46" s="129"/>
      <c r="AJ46" s="129"/>
      <c r="AK46" s="129"/>
      <c r="AL46" s="129"/>
      <c r="AM46" s="129"/>
      <c r="AN46" s="129"/>
      <c r="AO46" s="129"/>
      <c r="BR46" s="257"/>
      <c r="BS46" s="137"/>
      <c r="BT46" s="137"/>
      <c r="BU46" s="129"/>
      <c r="BV46" s="115"/>
      <c r="BW46" s="129"/>
      <c r="BX46" s="129"/>
      <c r="BY46" s="129"/>
      <c r="BZ46" s="129"/>
      <c r="CA46" s="129">
        <f t="shared" ref="CA46:CC46" si="32">IF(OR(CA15&gt;0,AJ15&gt;0),1,0)+IF(OR(CA16&gt;0,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f>
        <v>0</v>
      </c>
      <c r="CB46" s="129">
        <f t="shared" si="32"/>
        <v>0</v>
      </c>
      <c r="CC46" s="129">
        <f t="shared" si="32"/>
        <v>0</v>
      </c>
      <c r="CD46" s="129">
        <f>IF(OR(CD15&gt;0,AM15&gt;0),1,0)+IF(OR(CD16&gt;0,AM16&gt;0),1,0)+IF(OR(CD17&gt;0,AM17&gt;0),1,0)+IF(OR(CD18&gt;0,AM18&gt;0),1,0)+IF(OR(CD19&gt;0,AM19&gt;0),1,0)+IF(OR(CD20&gt;0,AM20&gt;0),1,0)+IF(OR(CD21&gt;0,AM21&gt;0),1,0)+IF(OR(CD22&gt;0,AM22&gt;0),1,0)+IF(OR(CD23&gt;0,AM23&gt;0),1,0)+IF(OR(CD24&gt;0,AM24&gt;0),1,0)+IF(OR(CD25&gt;0,AM25&gt;0),1,0)+IF(OR(CD26&gt;0,AM26&gt;0),1,0)+IF(OR(CD27&gt;0,AM27&gt;0),1,0)+IF(OR(CD28&gt;0,AM28&gt;0),1,0)+IF(OR(CD29&gt;0,AM29&gt;0),1,0)+IF(OR(CD30&gt;0,AM30&gt;0),1,0)+IF(OR(CD31&gt;0,AM31&gt;0),1,0)+IF(OR(CD32&gt;0,AM32&gt;0),1,0)+IF(OR(CD33&gt;0,AM33&gt;0),1,0)+IF(OR(CD34&gt;0,AM34&gt;0),1,0)+IF(OR(CD35&gt;0,AM35&gt;0),1,0)+IF(OR(CD36&gt;0,AM36&gt;0),1,0)+IF(OR(CD37&gt;0,AM37&gt;0),1,0)+IF(OR(CD38&gt;0,AM38&gt;0),1,0)+IF(OR(CD39&gt;0,AM39&gt;0),1,0)+IF(OR(CD40&gt;0,AM40&gt;0),1,0)+IF(OR(CD41&gt;0,AM41&gt;0),1,0)+IF(OR(CD42&gt;0,AM42&gt;0),1,0)+IF(OR(CD43&gt;0,AM43&gt;0),1,0)+IF(OR(CD44&gt;0,AM44&gt;0),1,0)</f>
        <v>0</v>
      </c>
      <c r="CE46" s="129">
        <f t="shared" ref="CE46:DD46" si="33">IF(OR(CE15&gt;0,AN15&gt;0),1,0)+IF(OR(CE16&gt;0,AN16&gt;0),1,0)+IF(OR(CE17&gt;0,AN17&gt;0),1,0)+IF(OR(CE18&gt;0,AN18&gt;0),1,0)+IF(OR(CE19&gt;0,AN19&gt;0),1,0)+IF(OR(CE20&gt;0,AN20&gt;0),1,0)+IF(OR(CE21&gt;0,AN21&gt;0),1,0)+IF(OR(CE22&gt;0,AN22&gt;0),1,0)+IF(OR(CE23&gt;0,AN23&gt;0),1,0)+IF(OR(CE24&gt;0,AN24&gt;0),1,0)+IF(OR(CE25&gt;0,AN25&gt;0),1,0)+IF(OR(CE26&gt;0,AN26&gt;0),1,0)+IF(OR(CE27&gt;0,AN27&gt;0),1,0)+IF(OR(CE28&gt;0,AN28&gt;0),1,0)+IF(OR(CE29&gt;0,AN29&gt;0),1,0)+IF(OR(CE30&gt;0,AN30&gt;0),1,0)+IF(OR(CE31&gt;0,AN31&gt;0),1,0)+IF(OR(CE32&gt;0,AN32&gt;0),1,0)+IF(OR(CE33&gt;0,AN33&gt;0),1,0)+IF(OR(CE34&gt;0,AN34&gt;0),1,0)+IF(OR(CE35&gt;0,AN35&gt;0),1,0)+IF(OR(CE36&gt;0,AN36&gt;0),1,0)+IF(OR(CE37&gt;0,AN37&gt;0),1,0)+IF(OR(CE38&gt;0,AN38&gt;0),1,0)+IF(OR(CE39&gt;0,AN39&gt;0),1,0)+IF(OR(CE40&gt;0,AN40&gt;0),1,0)+IF(OR(CE41&gt;0,AN41&gt;0),1,0)+IF(OR(CE42&gt;0,AN42&gt;0),1,0)+IF(OR(CE43&gt;0,AN43&gt;0),1,0)+IF(OR(CE44&gt;0,AN44&gt;0),1,0)</f>
        <v>0</v>
      </c>
      <c r="CF46" s="129">
        <f t="shared" si="33"/>
        <v>0</v>
      </c>
      <c r="CG46" s="129">
        <f t="shared" si="33"/>
        <v>0</v>
      </c>
      <c r="CH46" s="129">
        <f t="shared" si="33"/>
        <v>0</v>
      </c>
      <c r="CI46" s="129">
        <f t="shared" si="33"/>
        <v>0</v>
      </c>
      <c r="CJ46" s="129">
        <f t="shared" si="33"/>
        <v>0</v>
      </c>
      <c r="CK46" s="129">
        <f t="shared" si="33"/>
        <v>0</v>
      </c>
      <c r="CL46" s="129">
        <f t="shared" si="33"/>
        <v>0</v>
      </c>
      <c r="CM46" s="129">
        <f t="shared" si="33"/>
        <v>0</v>
      </c>
      <c r="CN46" s="129">
        <f t="shared" si="33"/>
        <v>0</v>
      </c>
      <c r="CO46" s="129">
        <f t="shared" si="33"/>
        <v>0</v>
      </c>
      <c r="CP46" s="129">
        <f t="shared" si="33"/>
        <v>0</v>
      </c>
      <c r="CQ46" s="129">
        <f t="shared" si="33"/>
        <v>0</v>
      </c>
      <c r="CR46" s="129">
        <f t="shared" si="33"/>
        <v>0</v>
      </c>
      <c r="CS46" s="129">
        <f t="shared" si="33"/>
        <v>0</v>
      </c>
      <c r="CT46" s="129">
        <f t="shared" si="33"/>
        <v>0</v>
      </c>
      <c r="CU46" s="129">
        <f t="shared" si="33"/>
        <v>0</v>
      </c>
      <c r="CV46" s="129">
        <f t="shared" si="33"/>
        <v>0</v>
      </c>
      <c r="CW46" s="129">
        <f t="shared" si="33"/>
        <v>0</v>
      </c>
      <c r="CX46" s="129">
        <f t="shared" si="33"/>
        <v>0</v>
      </c>
      <c r="CY46" s="129">
        <f t="shared" si="33"/>
        <v>0</v>
      </c>
      <c r="CZ46" s="129">
        <f t="shared" si="33"/>
        <v>0</v>
      </c>
      <c r="DA46" s="129">
        <f t="shared" si="33"/>
        <v>0</v>
      </c>
      <c r="DB46" s="129">
        <f t="shared" si="33"/>
        <v>0</v>
      </c>
      <c r="DC46" s="129">
        <f t="shared" si="33"/>
        <v>0</v>
      </c>
      <c r="DD46" s="129">
        <f t="shared" si="33"/>
        <v>0</v>
      </c>
    </row>
    <row r="47" spans="1:116" ht="70" customHeight="1">
      <c r="A47" s="873" t="str">
        <f>"Arbejdstid for "&amp;A13&amp;" måned:"</f>
        <v>Arbejdstid for April måned:</v>
      </c>
      <c r="B47" s="874"/>
      <c r="C47" s="874"/>
      <c r="D47" s="874"/>
      <c r="E47" s="874"/>
      <c r="F47" s="874"/>
      <c r="G47" s="874"/>
      <c r="H47" s="201" t="s">
        <v>126</v>
      </c>
      <c r="I47" s="923" t="s">
        <v>115</v>
      </c>
      <c r="J47" s="924"/>
      <c r="K47" s="150"/>
      <c r="L47" s="966" t="s">
        <v>187</v>
      </c>
      <c r="M47" s="967"/>
      <c r="N47" s="967"/>
      <c r="O47" s="967"/>
      <c r="P47" s="967"/>
      <c r="Q47" s="967"/>
      <c r="R47" s="967"/>
      <c r="S47" s="968"/>
      <c r="T47" s="598" t="s">
        <v>361</v>
      </c>
      <c r="U47" s="373" t="s">
        <v>257</v>
      </c>
      <c r="V47" s="303"/>
      <c r="W47" s="117"/>
      <c r="X47" s="130"/>
      <c r="Y47" s="130"/>
      <c r="Z47" s="130"/>
      <c r="AA47"/>
      <c r="AB47"/>
      <c r="AK47" s="56"/>
      <c r="AL47" s="56"/>
      <c r="BO47" s="117"/>
      <c r="BP47" s="117"/>
      <c r="BQ47" s="130"/>
      <c r="BR47" s="130"/>
      <c r="BS47"/>
      <c r="BT47"/>
      <c r="CB47" s="56"/>
      <c r="CC47" s="56"/>
    </row>
    <row r="48" spans="1:116" ht="24" customHeight="1">
      <c r="A48" s="875" t="s">
        <v>270</v>
      </c>
      <c r="B48" s="876"/>
      <c r="C48" s="876"/>
      <c r="D48" s="876"/>
      <c r="E48" s="876"/>
      <c r="F48" s="876"/>
      <c r="G48" s="876"/>
      <c r="H48" s="145">
        <f>D82-D80-A92-D79</f>
        <v>22</v>
      </c>
      <c r="I48" s="852">
        <f>J64</f>
        <v>0</v>
      </c>
      <c r="J48" s="853"/>
      <c r="K48" s="147"/>
      <c r="L48" s="970"/>
      <c r="M48" s="971"/>
      <c r="N48" s="971"/>
      <c r="O48" s="971"/>
      <c r="P48" s="971"/>
      <c r="Q48" s="971"/>
      <c r="R48" s="971"/>
      <c r="S48" s="971"/>
      <c r="T48" s="392">
        <f>Marts!T57</f>
        <v>0</v>
      </c>
      <c r="U48" s="393">
        <f>Marts!U57</f>
        <v>0</v>
      </c>
      <c r="V48" s="303"/>
      <c r="W48" s="130"/>
      <c r="X48" s="130"/>
      <c r="Y48" s="130"/>
      <c r="Z48" s="130"/>
      <c r="AA48"/>
      <c r="AB48"/>
      <c r="AK48" s="56"/>
      <c r="AL48" s="56"/>
      <c r="BO48" s="130"/>
      <c r="BP48" s="130"/>
      <c r="BQ48" s="130"/>
      <c r="BR48" s="130"/>
      <c r="BS48"/>
      <c r="BT48"/>
      <c r="CB48" s="56"/>
      <c r="CC48" s="56"/>
    </row>
    <row r="49" spans="1:114" ht="24" customHeight="1">
      <c r="A49" s="875" t="str">
        <f>"Ferie "&amp;A13&amp;" måned"</f>
        <v>Ferie April måned</v>
      </c>
      <c r="B49" s="876"/>
      <c r="C49" s="876"/>
      <c r="D49" s="876"/>
      <c r="E49" s="876"/>
      <c r="F49" s="876"/>
      <c r="G49" s="876"/>
      <c r="H49" s="146" t="str">
        <f>IF(D76&gt;0,$D$76,"0")</f>
        <v>0</v>
      </c>
      <c r="I49" s="961">
        <f>H49*7.4*Stamoplysninger!E21</f>
        <v>0</v>
      </c>
      <c r="J49" s="962"/>
      <c r="K49" s="147"/>
      <c r="L49" s="388" t="s">
        <v>190</v>
      </c>
      <c r="M49" s="389"/>
      <c r="N49" s="389"/>
      <c r="O49" s="389"/>
      <c r="P49" s="389"/>
      <c r="Q49" s="389"/>
      <c r="R49" s="389"/>
      <c r="S49" s="389"/>
      <c r="T49" s="592"/>
      <c r="U49" s="356"/>
      <c r="V49" s="303"/>
      <c r="W49" s="130"/>
      <c r="X49" s="130"/>
      <c r="Y49" s="130"/>
      <c r="Z49" s="130"/>
      <c r="AA49"/>
      <c r="AB49"/>
      <c r="AK49" s="56"/>
      <c r="AL49" s="56"/>
      <c r="BO49" s="130"/>
      <c r="BP49" s="130"/>
      <c r="BQ49" s="130"/>
      <c r="BR49" s="130"/>
      <c r="BS49"/>
      <c r="BT49"/>
      <c r="CB49" s="56"/>
      <c r="CC49" s="56"/>
    </row>
    <row r="50" spans="1:114" ht="24" customHeight="1">
      <c r="A50" s="875" t="str">
        <f>"Søgnehelligdage i "&amp;A13&amp;" måned"</f>
        <v>Søgnehelligdage i April måned</v>
      </c>
      <c r="B50" s="876"/>
      <c r="C50" s="876"/>
      <c r="D50" s="876"/>
      <c r="E50" s="876"/>
      <c r="F50" s="876"/>
      <c r="G50" s="876"/>
      <c r="H50" s="146">
        <f>IF(D81&gt;0,D81,0)</f>
        <v>3</v>
      </c>
      <c r="I50" s="961">
        <f>H50*7.4*Stamoplysninger!E21</f>
        <v>0</v>
      </c>
      <c r="J50" s="962"/>
      <c r="K50" s="225"/>
      <c r="L50" s="948" t="s">
        <v>363</v>
      </c>
      <c r="M50" s="949"/>
      <c r="N50" s="949"/>
      <c r="O50" s="949"/>
      <c r="P50" s="949"/>
      <c r="Q50" s="949"/>
      <c r="R50" s="949"/>
      <c r="S50" s="949"/>
      <c r="T50" s="949"/>
      <c r="U50" s="950"/>
      <c r="V50" s="303"/>
      <c r="W50" s="130"/>
      <c r="X50" s="130"/>
      <c r="Y50" s="130"/>
      <c r="Z50" s="130"/>
      <c r="AA50"/>
      <c r="AB50"/>
      <c r="AK50" s="56"/>
      <c r="AL50" s="56"/>
      <c r="BO50" s="130"/>
      <c r="BP50" s="130"/>
      <c r="BQ50" s="130"/>
      <c r="BR50" s="130"/>
      <c r="BS50"/>
      <c r="BT50"/>
      <c r="CB50" s="56"/>
      <c r="CC50" s="56"/>
    </row>
    <row r="51" spans="1:114" ht="24" customHeight="1">
      <c r="A51" s="875" t="str">
        <f>"Nettoarbejdstid ialt i "&amp;A13&amp;" måned"</f>
        <v>Nettoarbejdstid ialt i April måned</v>
      </c>
      <c r="B51" s="876"/>
      <c r="C51" s="876"/>
      <c r="D51" s="876"/>
      <c r="E51" s="876"/>
      <c r="F51" s="876"/>
      <c r="G51" s="876"/>
      <c r="H51" s="148">
        <f>H48-H49-H50</f>
        <v>19</v>
      </c>
      <c r="I51" s="961">
        <f>IF(Stamoplysninger!$E$18="Ikke omfattet af overenskomst - ansat med en fast årsnorm",Stamoplysninger!$E$20/228*H51*Stamoplysninger!$E$21,I48-I49-I50)</f>
        <v>0</v>
      </c>
      <c r="J51" s="962"/>
      <c r="K51" s="225"/>
      <c r="L51" s="375" t="s">
        <v>362</v>
      </c>
      <c r="M51" s="376" t="s">
        <v>201</v>
      </c>
      <c r="N51" s="954" t="s">
        <v>277</v>
      </c>
      <c r="O51" s="949"/>
      <c r="P51" s="949"/>
      <c r="Q51" s="949"/>
      <c r="R51" s="949"/>
      <c r="S51" s="955"/>
      <c r="T51" s="921" t="s">
        <v>188</v>
      </c>
      <c r="U51" s="922"/>
      <c r="V51" s="303"/>
      <c r="W51" s="130"/>
      <c r="X51" s="130"/>
      <c r="Y51" s="130"/>
      <c r="Z51" s="130"/>
      <c r="AA51"/>
      <c r="AB51"/>
      <c r="AK51" s="56"/>
      <c r="AL51" s="56"/>
      <c r="BO51" s="130"/>
      <c r="BP51" s="130"/>
      <c r="BQ51" s="130"/>
      <c r="BR51" s="130"/>
      <c r="BS51"/>
      <c r="BT51"/>
      <c r="CB51" s="56"/>
      <c r="CC51" s="56"/>
    </row>
    <row r="52" spans="1:114" ht="24" customHeight="1">
      <c r="A52" s="881" t="str">
        <f>"Planlagt arbejdstid efter ovennstående "&amp;A13&amp;" måned kalender"</f>
        <v>Planlagt arbejdstid efter ovennstående April måned kalender</v>
      </c>
      <c r="B52" s="882"/>
      <c r="C52" s="882"/>
      <c r="D52" s="882"/>
      <c r="E52" s="882"/>
      <c r="F52" s="882"/>
      <c r="G52" s="882"/>
      <c r="H52" s="281">
        <f>D59+D60+D61+D62+D65+D66+D73+D67+D68+D69+D70+D71+D72+D74+D75+D63+D64</f>
        <v>19</v>
      </c>
      <c r="I52" s="940">
        <f>K45+L45+M45-J59</f>
        <v>0</v>
      </c>
      <c r="J52" s="941"/>
      <c r="K52" s="225"/>
      <c r="L52" s="372"/>
      <c r="M52" s="304"/>
      <c r="N52" s="956"/>
      <c r="O52" s="957"/>
      <c r="P52" s="957"/>
      <c r="Q52" s="957"/>
      <c r="R52" s="957"/>
      <c r="S52" s="958"/>
      <c r="T52" s="304"/>
      <c r="U52" s="371"/>
      <c r="V52" s="303"/>
      <c r="W52" s="130"/>
      <c r="X52" s="130"/>
      <c r="Y52" s="130"/>
      <c r="Z52" s="130"/>
      <c r="AA52"/>
      <c r="AB52"/>
      <c r="AK52" s="56"/>
      <c r="AL52" s="56"/>
      <c r="BO52" s="130"/>
      <c r="BP52" s="130"/>
      <c r="BQ52" s="130"/>
      <c r="BR52" s="130"/>
      <c r="BS52"/>
      <c r="BT52"/>
      <c r="CB52" s="56"/>
      <c r="CC52" s="56"/>
    </row>
    <row r="53" spans="1:114" ht="24" customHeight="1">
      <c r="A53" s="883" t="str">
        <f>"Arbejde særligt planlagt for "&amp;A13&amp;" måned efter fanen normale uger"</f>
        <v>Arbejde særligt planlagt for April måned efter fanen normale uger</v>
      </c>
      <c r="B53" s="884"/>
      <c r="C53" s="884"/>
      <c r="D53" s="884"/>
      <c r="E53" s="884"/>
      <c r="F53" s="884"/>
      <c r="G53" s="884"/>
      <c r="H53" s="885"/>
      <c r="I53" s="942">
        <f>IF(I52=0,0,'Normal uger'!T98)</f>
        <v>0</v>
      </c>
      <c r="J53" s="943"/>
      <c r="K53" s="226"/>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413" t="s">
        <v>273</v>
      </c>
      <c r="B54" s="414"/>
      <c r="C54" s="414"/>
      <c r="D54" s="414"/>
      <c r="E54" s="414"/>
      <c r="F54" s="414"/>
      <c r="G54" s="414"/>
      <c r="H54" s="415"/>
      <c r="I54" s="959" t="e">
        <f>IF(Arbejdstidsoversigt!$H$54="Puljetimer registreres i månedskalendere",O45-L59,SUM(Arbejdstidsoversigt!J34:J52)/Arbejdstidsoversigt!$G$20*H51)</f>
        <v>#DIV/0!</v>
      </c>
      <c r="J54" s="960"/>
      <c r="K54" s="226"/>
      <c r="L54" s="372"/>
      <c r="M54" s="304"/>
      <c r="N54" s="956"/>
      <c r="O54" s="957"/>
      <c r="P54" s="957"/>
      <c r="Q54" s="957"/>
      <c r="R54" s="957"/>
      <c r="S54" s="958"/>
      <c r="T54" s="353"/>
      <c r="U54" s="371"/>
      <c r="V54" s="406"/>
      <c r="W54" s="406"/>
      <c r="X54" s="303"/>
      <c r="Y54" s="130"/>
      <c r="Z54" s="130"/>
      <c r="AA54" s="130"/>
      <c r="AB54" s="130"/>
      <c r="AM54" s="56"/>
      <c r="AN54" s="56"/>
      <c r="BQ54" s="130"/>
      <c r="BR54" s="130"/>
      <c r="BS54" s="130"/>
      <c r="BT54" s="130"/>
      <c r="CD54" s="56"/>
      <c r="CE54" s="56"/>
    </row>
    <row r="55" spans="1:114" ht="24" customHeight="1">
      <c r="A55" s="877" t="s">
        <v>248</v>
      </c>
      <c r="B55" s="878"/>
      <c r="C55" s="878"/>
      <c r="D55" s="878"/>
      <c r="E55" s="878"/>
      <c r="F55" s="878"/>
      <c r="G55" s="878"/>
      <c r="H55" s="878"/>
      <c r="I55" s="944">
        <f>S45+U45+T45-P59-Q59-R59</f>
        <v>0</v>
      </c>
      <c r="J55" s="945"/>
      <c r="K55" s="227"/>
      <c r="L55" s="372"/>
      <c r="M55" s="304"/>
      <c r="N55" s="956"/>
      <c r="O55" s="957"/>
      <c r="P55" s="957"/>
      <c r="Q55" s="957"/>
      <c r="R55" s="957"/>
      <c r="S55" s="958"/>
      <c r="T55" s="304"/>
      <c r="U55" s="371"/>
      <c r="V55" s="303"/>
      <c r="W55" s="137"/>
      <c r="X55" s="130"/>
      <c r="Z55" s="130"/>
      <c r="AA55" s="130"/>
      <c r="AB55"/>
      <c r="AM55" s="56"/>
      <c r="AN55" s="56"/>
      <c r="BO55" s="137"/>
      <c r="BP55" s="137"/>
      <c r="BR55" s="130"/>
      <c r="BS55"/>
      <c r="BT55"/>
      <c r="CD55" s="56"/>
      <c r="CE55" s="56"/>
    </row>
    <row r="56" spans="1:114" ht="24" customHeight="1" thickBot="1">
      <c r="A56" s="149" t="str">
        <f>"Faktisk arbejdstid ialt i "&amp;A13&amp;" måned"</f>
        <v>Faktisk arbejdstid ialt i April måned</v>
      </c>
      <c r="B56" s="188"/>
      <c r="C56" s="189"/>
      <c r="D56" s="189"/>
      <c r="E56" s="189"/>
      <c r="F56" s="189"/>
      <c r="G56" s="189"/>
      <c r="H56" s="190"/>
      <c r="I56" s="946" t="e">
        <f>SUM(I52:J55)</f>
        <v>#DIV/0!</v>
      </c>
      <c r="J56" s="947"/>
      <c r="K56" s="131"/>
      <c r="L56" s="951" t="s">
        <v>189</v>
      </c>
      <c r="M56" s="952"/>
      <c r="N56" s="952"/>
      <c r="O56" s="952"/>
      <c r="P56" s="952"/>
      <c r="Q56" s="952"/>
      <c r="R56" s="952"/>
      <c r="S56" s="953"/>
      <c r="T56" s="387">
        <f>T48+T49-SUM(T52:T55)</f>
        <v>0</v>
      </c>
      <c r="U56" s="394">
        <f>U48+U49-SUM(U52:U55)</f>
        <v>0</v>
      </c>
      <c r="V56" s="303"/>
      <c r="W56" s="137"/>
      <c r="X56" s="130"/>
      <c r="Z56" s="130"/>
      <c r="AA56" s="130"/>
      <c r="AB56"/>
      <c r="AL56" s="56"/>
      <c r="AM56" s="56"/>
      <c r="BO56" s="137"/>
      <c r="BP56" s="137"/>
      <c r="BR56" s="130"/>
      <c r="BS56"/>
      <c r="BT56"/>
      <c r="CC56" s="56"/>
      <c r="CD56" s="56"/>
    </row>
    <row r="57" spans="1:114" hidden="1">
      <c r="A57" s="144"/>
      <c r="B57" s="144"/>
      <c r="C57" s="144"/>
      <c r="D57" s="144"/>
      <c r="E57" s="144"/>
      <c r="F57" s="144"/>
      <c r="G57" s="144"/>
      <c r="H57" s="144"/>
      <c r="I57" s="302"/>
      <c r="J57" s="302"/>
      <c r="K57" s="302"/>
      <c r="L57" s="290"/>
      <c r="M57" s="252"/>
      <c r="N57" s="252"/>
      <c r="O57" s="252"/>
      <c r="P57" s="252"/>
      <c r="Q57" s="252"/>
      <c r="R57" s="205"/>
      <c r="S57" s="253"/>
      <c r="T57" s="126"/>
      <c r="U57" s="126"/>
      <c r="V57" s="126"/>
      <c r="W57" s="126"/>
      <c r="X57" s="126"/>
      <c r="Y57" s="63"/>
      <c r="Z57" s="63"/>
      <c r="AA57" s="130"/>
      <c r="AB57" s="130"/>
      <c r="AC57" s="130"/>
      <c r="AD57" s="130"/>
      <c r="AE57" s="118"/>
      <c r="AF57" s="137"/>
      <c r="AG57" s="137"/>
      <c r="AH57" s="137"/>
      <c r="AI57" s="137"/>
      <c r="AJ57" s="137"/>
      <c r="AK57" s="137"/>
      <c r="AL57" s="137"/>
      <c r="AM57" s="137"/>
      <c r="AN57" s="137"/>
      <c r="AO57" s="137"/>
      <c r="AP57" s="130"/>
      <c r="AR57" s="130"/>
      <c r="AS57" s="130"/>
      <c r="AW57" s="56"/>
      <c r="AX57" s="56"/>
      <c r="BG57" s="56"/>
      <c r="BH57" s="56"/>
      <c r="BS57" s="130"/>
      <c r="BT57" s="130"/>
      <c r="BU57" s="130"/>
      <c r="BV57" s="130"/>
      <c r="BW57" s="137"/>
      <c r="BX57" s="137"/>
      <c r="BY57" s="137"/>
      <c r="BZ57" s="137"/>
      <c r="CA57" s="137"/>
      <c r="CB57" s="137"/>
      <c r="CC57" s="137"/>
      <c r="CD57" s="137"/>
      <c r="CE57" s="137"/>
      <c r="CF57" s="137"/>
      <c r="CG57" s="130"/>
      <c r="CI57" s="130"/>
      <c r="CJ57" s="130"/>
      <c r="CN57" s="56"/>
      <c r="CO57" s="56"/>
      <c r="DH57" s="138"/>
      <c r="DI57" s="138"/>
    </row>
    <row r="58" spans="1:114" hidden="1">
      <c r="A58" s="286"/>
      <c r="B58" s="286"/>
      <c r="C58" s="286"/>
      <c r="D58" s="286"/>
      <c r="E58" s="286"/>
      <c r="F58" s="286"/>
      <c r="G58" s="286"/>
      <c r="H58" s="287"/>
      <c r="I58" s="288"/>
      <c r="K58" s="286"/>
      <c r="L58" s="289"/>
      <c r="M58" s="279"/>
      <c r="N58" s="279"/>
      <c r="O58" s="279"/>
      <c r="P58" s="279"/>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R58" s="303"/>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95" t="s">
        <v>217</v>
      </c>
      <c r="B59" s="295"/>
      <c r="C59" s="295"/>
      <c r="D59" s="295">
        <f>COUNTIF([0]!April1,"Normal uge 1")</f>
        <v>19</v>
      </c>
      <c r="E59" s="296"/>
      <c r="F59" s="295"/>
      <c r="G59" s="295"/>
      <c r="H59" s="288"/>
      <c r="I59" s="291" t="s">
        <v>360</v>
      </c>
      <c r="J59" s="289">
        <f>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f>
        <v>0</v>
      </c>
      <c r="K59" s="289" t="s">
        <v>271</v>
      </c>
      <c r="L59"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59" s="280"/>
      <c r="N59" s="252"/>
      <c r="O59" s="252"/>
      <c r="P59"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59" s="289">
        <f t="shared" ref="Q59" si="34">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59"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X59" s="56"/>
      <c r="CY59" s="56"/>
      <c r="DG59" s="1"/>
      <c r="DI59" s="138"/>
      <c r="DJ59" s="138"/>
    </row>
    <row r="60" spans="1:114" hidden="1">
      <c r="A60" s="969" t="s">
        <v>204</v>
      </c>
      <c r="B60" s="969"/>
      <c r="C60" s="969"/>
      <c r="D60" s="295">
        <f>COUNTIF([0]!April1,"Normal uge 2")</f>
        <v>0</v>
      </c>
      <c r="E60" s="296"/>
      <c r="F60" s="295"/>
      <c r="G60" s="295" t="s">
        <v>489</v>
      </c>
      <c r="H60" s="852">
        <f>IF(AND(Stamoplysninger!$E$18="BUPL/FOA",Stamoplysninger!$E$19="Ja"),1924/Arbejdstidsoversigt!$K$13*Stamoplysninger!$E$21*$H$48,H48*7.4*Stamoplysninger!$E$21)</f>
        <v>0</v>
      </c>
      <c r="I60" s="853"/>
      <c r="J60" s="289">
        <f>IF(Stamoplysninger!$E$18="BUPL/FOA",H60,0)</f>
        <v>0</v>
      </c>
      <c r="K60" s="291"/>
      <c r="L60" s="292"/>
      <c r="M60" s="280"/>
      <c r="N60" s="279"/>
      <c r="O60" s="279"/>
      <c r="P60" s="280"/>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205</v>
      </c>
      <c r="B61" s="969"/>
      <c r="C61" s="969"/>
      <c r="D61" s="295">
        <f>COUNTIF([0]!April1,"Normal uge 3")</f>
        <v>0</v>
      </c>
      <c r="E61" s="296"/>
      <c r="F61" s="295"/>
      <c r="G61" s="295" t="s">
        <v>212</v>
      </c>
      <c r="H61" s="852">
        <f>IF(AND(Stamoplysninger!$E$18="HK",Stamoplysninger!$E$19="Ja"),1924/Arbejdstidsoversigt!$K$13*Stamoplysninger!$E$21*$H$48,$H$48*7.4*Stamoplysninger!$E$21)</f>
        <v>0</v>
      </c>
      <c r="I61" s="853"/>
      <c r="J61" s="289">
        <f>IF(Stamoplysninger!$E$18="HK",H61,0)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206</v>
      </c>
      <c r="B62" s="969"/>
      <c r="C62" s="969"/>
      <c r="D62" s="295">
        <f>COUNTIF([0]!April1,"Normal uge 4")</f>
        <v>0</v>
      </c>
      <c r="E62" s="296"/>
      <c r="F62" s="295"/>
      <c r="G62" s="295" t="s">
        <v>213</v>
      </c>
      <c r="H62" s="288">
        <f>IF(Stamoplysninger!$E$18="3F",7.4*Stamoplysninger!$E$21*$H$48,0)</f>
        <v>0</v>
      </c>
      <c r="I62" s="288"/>
      <c r="J62" s="289">
        <f>IF(Stamoplysninger!$E$18="3f",H62,0)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650" t="s">
        <v>406</v>
      </c>
      <c r="B63" s="650"/>
      <c r="C63" s="650"/>
      <c r="D63" s="295">
        <f>COUNTIF([0]!April1,"Normal uge 5")</f>
        <v>0</v>
      </c>
      <c r="E63" s="296"/>
      <c r="F63" s="295"/>
      <c r="G63" s="295" t="s">
        <v>498</v>
      </c>
      <c r="H63" s="288">
        <f>IF(Stamoplysninger!$E$18="Ikke omfattet af overenskomst - ansat med en variabel årsnorm",7.4*Stamoplysninger!$E$21*$H$48,0)</f>
        <v>0</v>
      </c>
      <c r="I63" s="288"/>
      <c r="J63" s="289">
        <f>IF(Stamoplysninger!$E$18="Ikke omfattet af overenskomst - ansat med en variabel årsnorm",H63,0)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2" t="s">
        <v>407</v>
      </c>
      <c r="B64" s="652"/>
      <c r="C64" s="652"/>
      <c r="D64" s="295">
        <f>COUNTIF([0]!April1,"Normal uge 6")</f>
        <v>0</v>
      </c>
      <c r="E64" s="296"/>
      <c r="F64" s="295"/>
      <c r="G64" s="295"/>
      <c r="H64" s="288"/>
      <c r="I64" s="288"/>
      <c r="J64" s="289">
        <f>SUM(J59:J63)</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1" hidden="1">
      <c r="A65" s="295" t="s">
        <v>228</v>
      </c>
      <c r="B65" s="295"/>
      <c r="C65" s="295"/>
      <c r="D65" s="295">
        <f>COUNTIF([0]!April1,"Anderledes dag")</f>
        <v>0</v>
      </c>
      <c r="E65" s="296"/>
      <c r="F65" s="295"/>
      <c r="G65" s="295"/>
      <c r="H65" s="288"/>
      <c r="I65" s="292"/>
      <c r="J65" s="292"/>
      <c r="K65" s="291"/>
      <c r="L65" s="292"/>
      <c r="M65" s="280"/>
      <c r="N65" s="280"/>
      <c r="O65" s="280"/>
      <c r="P65" s="280"/>
      <c r="AA65"/>
      <c r="AB65"/>
      <c r="AW65" s="1"/>
      <c r="BG65" s="1"/>
      <c r="BR65" s="63"/>
      <c r="BS65"/>
      <c r="BT65"/>
      <c r="CN65" s="1"/>
      <c r="CU65" s="130"/>
      <c r="CY65" s="56"/>
      <c r="CZ65" s="56"/>
      <c r="DG65" s="138"/>
    </row>
    <row r="66" spans="1:111" hidden="1">
      <c r="A66" s="297" t="s">
        <v>370</v>
      </c>
      <c r="B66" s="295"/>
      <c r="C66" s="295"/>
      <c r="D66" s="295">
        <f>COUNTIF([0]!April1,"Ferieåbning")</f>
        <v>0</v>
      </c>
      <c r="E66" s="296"/>
      <c r="F66" s="295"/>
      <c r="G66" s="295"/>
      <c r="H66" s="288"/>
      <c r="I66" s="292"/>
      <c r="J66" s="292"/>
      <c r="K66" s="292"/>
      <c r="L66" s="292"/>
      <c r="M66" s="280"/>
      <c r="N66" s="280"/>
      <c r="O66" s="280"/>
      <c r="P66" s="280"/>
      <c r="AA66"/>
      <c r="AB66"/>
      <c r="AW66" s="1"/>
      <c r="BG66" s="1"/>
      <c r="BR66" s="63"/>
      <c r="BS66"/>
      <c r="BT66"/>
      <c r="CN66" s="1"/>
      <c r="CX66" s="1"/>
      <c r="DG66" s="138"/>
    </row>
    <row r="67" spans="1:111" hidden="1">
      <c r="A67" s="297" t="s">
        <v>218</v>
      </c>
      <c r="B67" s="295"/>
      <c r="C67" s="295"/>
      <c r="D67" s="295">
        <f>COUNTIF([0]!April1,"Rul 1")</f>
        <v>0</v>
      </c>
      <c r="E67" s="296"/>
      <c r="F67" s="295"/>
      <c r="G67" s="295"/>
      <c r="H67" s="288"/>
      <c r="I67" s="292"/>
      <c r="J67" s="292"/>
      <c r="K67" s="292"/>
      <c r="L67" s="292"/>
      <c r="M67" s="252"/>
      <c r="N67" s="280"/>
      <c r="O67" s="280"/>
      <c r="P67" s="252"/>
      <c r="AA67"/>
      <c r="AB67"/>
      <c r="AW67" s="1"/>
      <c r="BG67" s="1"/>
      <c r="BR67" s="63"/>
      <c r="BS67"/>
      <c r="BT67"/>
      <c r="CN67" s="1"/>
      <c r="CX67" s="1"/>
      <c r="DG67" s="138"/>
    </row>
    <row r="68" spans="1:111" hidden="1">
      <c r="A68" s="297" t="s">
        <v>219</v>
      </c>
      <c r="B68" s="295"/>
      <c r="C68" s="295"/>
      <c r="D68" s="295">
        <f>COUNTIF([0]!April1,"Rul 2")</f>
        <v>0</v>
      </c>
      <c r="E68" s="296"/>
      <c r="F68" s="295"/>
      <c r="G68" s="295"/>
      <c r="H68" s="288"/>
      <c r="I68" s="292"/>
      <c r="J68" s="292"/>
      <c r="K68" s="292"/>
      <c r="L68" s="292"/>
      <c r="N68" s="280"/>
      <c r="O68" s="280"/>
      <c r="AA68"/>
      <c r="AB68"/>
      <c r="AW68" s="1"/>
      <c r="BG68" s="1"/>
      <c r="BR68" s="63"/>
      <c r="BS68"/>
      <c r="BT68"/>
      <c r="CN68" s="1"/>
      <c r="CX68" s="1"/>
      <c r="DG68" s="138"/>
    </row>
    <row r="69" spans="1:111" hidden="1">
      <c r="A69" s="297" t="s">
        <v>220</v>
      </c>
      <c r="B69" s="295"/>
      <c r="C69" s="295"/>
      <c r="D69" s="295">
        <f>COUNTIF([0]!April1,"Rul 3")</f>
        <v>0</v>
      </c>
      <c r="E69" s="296"/>
      <c r="F69" s="295"/>
      <c r="G69" s="295"/>
      <c r="H69" s="288"/>
      <c r="I69" s="292"/>
      <c r="J69" s="292"/>
      <c r="K69" s="292"/>
      <c r="L69" s="292"/>
      <c r="N69" s="252"/>
      <c r="O69" s="252"/>
      <c r="P69" s="288"/>
      <c r="AA69"/>
      <c r="AB69"/>
      <c r="AW69" s="1"/>
      <c r="BG69" s="1"/>
      <c r="BR69" s="63"/>
      <c r="BS69"/>
      <c r="BT69"/>
      <c r="CN69" s="1"/>
      <c r="CX69" s="1"/>
      <c r="DG69" s="138"/>
    </row>
    <row r="70" spans="1:111" hidden="1">
      <c r="A70" s="297" t="s">
        <v>221</v>
      </c>
      <c r="B70" s="295"/>
      <c r="C70" s="295"/>
      <c r="D70" s="295">
        <f>COUNTIF([0]!April1,"Rul 4")</f>
        <v>0</v>
      </c>
      <c r="E70" s="296"/>
      <c r="F70" s="295"/>
      <c r="G70" s="295"/>
      <c r="H70" s="288"/>
      <c r="I70" s="292"/>
      <c r="J70" s="292"/>
      <c r="K70" s="292"/>
      <c r="L70" s="292"/>
      <c r="AA70"/>
      <c r="AB70"/>
      <c r="AW70" s="1"/>
      <c r="BG70" s="1"/>
      <c r="BS70"/>
      <c r="BT70"/>
      <c r="CN70" s="1"/>
      <c r="CX70" s="1"/>
      <c r="DG70" s="138"/>
    </row>
    <row r="71" spans="1:111" hidden="1">
      <c r="A71" s="297" t="s">
        <v>222</v>
      </c>
      <c r="B71" s="295"/>
      <c r="C71" s="295"/>
      <c r="D71" s="295">
        <f>COUNTIF([0]!April1,"Rul 5")</f>
        <v>0</v>
      </c>
      <c r="E71" s="296"/>
      <c r="F71" s="295"/>
      <c r="G71" s="295"/>
      <c r="H71" s="288"/>
      <c r="I71" s="292"/>
      <c r="J71" s="292"/>
      <c r="K71" s="292"/>
      <c r="L71" s="292"/>
      <c r="AA71"/>
      <c r="AB71"/>
      <c r="AW71" s="1"/>
      <c r="BG71" s="1"/>
      <c r="BS71"/>
      <c r="BT71"/>
      <c r="CN71" s="1"/>
      <c r="CX71" s="1"/>
      <c r="DG71" s="138"/>
    </row>
    <row r="72" spans="1:111" hidden="1">
      <c r="A72" s="297" t="s">
        <v>223</v>
      </c>
      <c r="B72" s="295"/>
      <c r="C72" s="295"/>
      <c r="D72" s="295">
        <f>COUNTIF([0]!April1,"Rul 6")</f>
        <v>0</v>
      </c>
      <c r="E72" s="296"/>
      <c r="F72" s="298"/>
      <c r="G72" s="298"/>
      <c r="H72" s="294"/>
      <c r="I72" s="292"/>
      <c r="J72" s="292"/>
      <c r="K72" s="292"/>
      <c r="L72" s="292"/>
      <c r="AA72"/>
      <c r="AB72"/>
      <c r="AW72" s="1"/>
      <c r="BG72" s="1"/>
      <c r="BS72"/>
      <c r="BT72"/>
      <c r="CN72" s="1"/>
      <c r="CX72" s="1"/>
      <c r="DG72" s="138"/>
    </row>
    <row r="73" spans="1:111" hidden="1">
      <c r="A73" s="295" t="s">
        <v>83</v>
      </c>
      <c r="B73" s="295"/>
      <c r="C73" s="295"/>
      <c r="D73" s="295">
        <f>COUNTIF([0]!April1,"Pæd.dag")</f>
        <v>0</v>
      </c>
      <c r="E73" s="296"/>
      <c r="F73" s="295"/>
      <c r="G73" s="295"/>
      <c r="H73" s="288"/>
      <c r="I73" s="292"/>
      <c r="J73" s="292"/>
      <c r="K73" s="292"/>
      <c r="L73" s="291"/>
      <c r="AA73"/>
      <c r="AB73"/>
      <c r="AW73" s="1"/>
      <c r="BG73" s="1"/>
      <c r="BS73"/>
      <c r="BT73"/>
      <c r="CN73" s="1"/>
      <c r="CX73" s="1"/>
      <c r="DG73" s="138"/>
    </row>
    <row r="74" spans="1:111" hidden="1">
      <c r="A74" s="295" t="s">
        <v>227</v>
      </c>
      <c r="B74" s="295"/>
      <c r="C74" s="295"/>
      <c r="D74" s="295">
        <f>COUNTIF([0]!April1,"Koloni")</f>
        <v>0</v>
      </c>
      <c r="E74" s="296"/>
      <c r="F74" s="295"/>
      <c r="G74" s="295"/>
      <c r="H74" s="288"/>
      <c r="I74" s="292"/>
      <c r="J74" s="292"/>
      <c r="K74" s="292"/>
      <c r="L74" s="291"/>
      <c r="AA74"/>
      <c r="AB74"/>
      <c r="AW74" s="1"/>
      <c r="BG74" s="1"/>
      <c r="BS74"/>
      <c r="BT74"/>
      <c r="CN74" s="1"/>
      <c r="CX74" s="1"/>
      <c r="DG74" s="138"/>
    </row>
    <row r="75" spans="1:111" hidden="1">
      <c r="A75" s="295" t="s">
        <v>82</v>
      </c>
      <c r="B75" s="295"/>
      <c r="C75" s="295"/>
      <c r="D75" s="295">
        <f>COUNTIF([0]!April1,"Ekskursion")</f>
        <v>0</v>
      </c>
      <c r="E75" s="296"/>
      <c r="F75" s="295"/>
      <c r="G75" s="295"/>
      <c r="H75" s="288"/>
      <c r="I75" s="292"/>
      <c r="J75" s="292"/>
      <c r="K75" s="292"/>
      <c r="L75" s="291"/>
      <c r="AA75"/>
      <c r="AB75"/>
      <c r="AW75" s="1"/>
      <c r="BG75" s="1"/>
      <c r="BS75"/>
      <c r="BT75"/>
      <c r="CN75" s="1"/>
      <c r="CX75" s="1"/>
      <c r="DG75" s="138"/>
    </row>
    <row r="76" spans="1:111" hidden="1">
      <c r="A76" s="295" t="s">
        <v>109</v>
      </c>
      <c r="B76" s="295"/>
      <c r="C76" s="295"/>
      <c r="D76" s="295">
        <f>COUNTIF([0]!April1,"Feriedag")</f>
        <v>0</v>
      </c>
      <c r="E76" s="295"/>
      <c r="F76" s="295"/>
      <c r="G76" s="295"/>
      <c r="H76" s="288"/>
      <c r="I76" s="292"/>
      <c r="J76" s="292"/>
      <c r="K76" s="292"/>
      <c r="L76" s="291"/>
      <c r="AA76"/>
      <c r="AB76"/>
      <c r="AW76" s="1"/>
      <c r="BG76" s="1"/>
      <c r="BS76"/>
      <c r="BT76"/>
      <c r="CN76" s="1"/>
      <c r="CX76" s="1"/>
      <c r="DG76" s="138"/>
    </row>
    <row r="77" spans="1:111" hidden="1">
      <c r="A77" s="295" t="s">
        <v>78</v>
      </c>
      <c r="B77" s="295"/>
      <c r="C77" s="295"/>
      <c r="D77" s="295">
        <f>COUNTIF([0]!April1,"Nul-dag")</f>
        <v>0</v>
      </c>
      <c r="E77" s="299"/>
      <c r="F77" s="295"/>
      <c r="G77" s="295"/>
      <c r="H77" s="288"/>
      <c r="I77" s="292"/>
      <c r="J77" s="292"/>
      <c r="K77" s="292"/>
      <c r="L77" s="291"/>
      <c r="AA77"/>
      <c r="AB77"/>
      <c r="AW77" s="1"/>
      <c r="BG77" s="1"/>
      <c r="BS77"/>
      <c r="BT77"/>
      <c r="CN77" s="1"/>
      <c r="CX77" s="1"/>
      <c r="DG77" s="138"/>
    </row>
    <row r="78" spans="1:111" hidden="1">
      <c r="A78" s="295" t="s">
        <v>176</v>
      </c>
      <c r="B78" s="295"/>
      <c r="C78" s="295"/>
      <c r="D78" s="295">
        <f>COUNTIF([0]!April1,"Orlov")</f>
        <v>0</v>
      </c>
      <c r="E78" s="295"/>
      <c r="F78" s="295"/>
      <c r="G78" s="295"/>
      <c r="H78" s="288"/>
      <c r="I78" s="288"/>
      <c r="J78" s="292"/>
      <c r="K78" s="292"/>
      <c r="L78" s="291"/>
      <c r="AA78"/>
      <c r="AB78"/>
      <c r="AW78" s="1"/>
      <c r="BG78" s="1"/>
      <c r="BS78"/>
      <c r="BT78"/>
      <c r="CN78" s="1"/>
      <c r="CX78" s="1"/>
      <c r="DG78" s="138"/>
    </row>
    <row r="79" spans="1:111" hidden="1">
      <c r="A79" s="295" t="s">
        <v>98</v>
      </c>
      <c r="B79" s="295"/>
      <c r="C79" s="295"/>
      <c r="D79" s="295">
        <f>COUNTIF([0]!April1,"Ikke relevant")</f>
        <v>0</v>
      </c>
      <c r="E79" s="295"/>
      <c r="F79" s="295"/>
      <c r="G79" s="295"/>
      <c r="H79" s="288"/>
      <c r="I79" s="288"/>
      <c r="J79" s="291"/>
      <c r="K79" s="291"/>
      <c r="L79" s="291"/>
      <c r="AA79"/>
      <c r="AB79"/>
      <c r="AW79" s="1"/>
      <c r="BG79" s="1"/>
      <c r="BS79"/>
      <c r="BT79"/>
      <c r="CN79" s="1"/>
      <c r="CX79" s="1"/>
      <c r="DG79" s="138"/>
    </row>
    <row r="80" spans="1:111" hidden="1">
      <c r="A80" s="295" t="s">
        <v>77</v>
      </c>
      <c r="B80" s="295"/>
      <c r="C80" s="295"/>
      <c r="D80" s="295">
        <f>COUNTIF([0]!April1,"Weekend")</f>
        <v>8</v>
      </c>
      <c r="E80" s="295"/>
      <c r="F80" s="295"/>
      <c r="G80" s="295"/>
      <c r="H80" s="288"/>
      <c r="I80" s="288"/>
      <c r="J80" s="291"/>
      <c r="K80" s="291"/>
      <c r="L80" s="291"/>
      <c r="AA80"/>
      <c r="AB80"/>
      <c r="AW80" s="1"/>
      <c r="BG80" s="1"/>
      <c r="BS80"/>
      <c r="BT80"/>
      <c r="CN80" s="1"/>
      <c r="CX80" s="1"/>
      <c r="DG80" s="138"/>
    </row>
    <row r="81" spans="1:114" hidden="1">
      <c r="A81" s="293" t="s">
        <v>76</v>
      </c>
      <c r="B81" s="295"/>
      <c r="C81" s="295"/>
      <c r="D81" s="295">
        <f>COUNTIF([0]!April1,"SH-dag")</f>
        <v>3</v>
      </c>
      <c r="E81" s="295"/>
      <c r="F81" s="295"/>
      <c r="G81" s="295"/>
      <c r="H81" s="288"/>
      <c r="I81" s="288"/>
      <c r="J81" s="291"/>
      <c r="K81" s="291"/>
      <c r="L81" s="291"/>
      <c r="AA81"/>
      <c r="AB81"/>
      <c r="AW81" s="1">
        <f>SUM(P81:AV81)</f>
        <v>0</v>
      </c>
      <c r="BG81" s="1">
        <f>SUM(Z87:BF87)</f>
        <v>0</v>
      </c>
      <c r="BS81"/>
      <c r="BT81"/>
      <c r="CN81" s="1">
        <f>SUM(AV81:CM81)</f>
        <v>0</v>
      </c>
      <c r="CX81" s="1"/>
      <c r="DG81" s="138"/>
    </row>
    <row r="82" spans="1:114" hidden="1">
      <c r="A82" s="295" t="s">
        <v>73</v>
      </c>
      <c r="B82" s="295"/>
      <c r="C82" s="295"/>
      <c r="D82" s="295">
        <f>SUM(D59:D81)</f>
        <v>30</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122</v>
      </c>
      <c r="B83" s="295"/>
      <c r="C83" s="295"/>
      <c r="D83" s="295">
        <f>D82-D76-A92-D80-D81</f>
        <v>19</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c r="B84" s="295"/>
      <c r="C84" s="295"/>
      <c r="D84" s="295"/>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33"/>
      <c r="AA85"/>
      <c r="AB85"/>
      <c r="BS85"/>
      <c r="BT85"/>
      <c r="CX85" s="1">
        <f>SUM(BQ90:CW90)</f>
        <v>0</v>
      </c>
      <c r="DG85" s="138"/>
    </row>
    <row r="86" spans="1:114" hidden="1">
      <c r="A86" s="295" t="s">
        <v>138</v>
      </c>
      <c r="B86" s="295"/>
      <c r="C86" s="295"/>
      <c r="D86" s="295"/>
      <c r="E86" s="295"/>
      <c r="F86" s="295"/>
      <c r="G86" s="295"/>
      <c r="H86" s="291"/>
      <c r="I86" s="288"/>
      <c r="J86" s="291"/>
      <c r="K86" s="291"/>
      <c r="L86" s="33"/>
      <c r="AA86"/>
      <c r="AB86"/>
      <c r="BS86"/>
      <c r="BT86"/>
      <c r="DG86" s="138"/>
    </row>
    <row r="87" spans="1:114" hidden="1">
      <c r="A87" s="295">
        <f>COUNTIF(C18:C19,"Normal uge 1")+COUNTIF(C18:C19,"Normal uge 2")+COUNTIF(C18:C19,"Normal uge 3")+COUNTIF(C18:C19,"Normal uge 4")+COUNTIF(C18:C19,"Anderledes dag")+COUNTIF(C18:C19,"Feriepasningsdag")+COUNTIF(C18:C19,"Koloni")+COUNTIF(C18:C19,"Ekskursion")+COUNTIF(C18:C19,"Pæd.dag")</f>
        <v>0</v>
      </c>
      <c r="B87" s="295"/>
      <c r="C87" s="295"/>
      <c r="D87" s="295"/>
      <c r="E87" s="295"/>
      <c r="F87" s="295"/>
      <c r="G87" s="295"/>
      <c r="H87" s="291"/>
      <c r="I87" s="291"/>
      <c r="J87" s="291"/>
      <c r="K87" s="291"/>
      <c r="L87" s="33"/>
      <c r="AA87"/>
      <c r="AB87"/>
      <c r="BS87"/>
      <c r="BT87"/>
      <c r="DG87" s="138"/>
    </row>
    <row r="88" spans="1:114" hidden="1">
      <c r="A88" s="295">
        <f>COUNTIF(C25:C26,"Normal uge 1")+COUNTIF(C25:C26,"Normal uge 2")+COUNTIF(C25:C26,"Normal uge 3")+COUNTIF(C25:C26,"Normal uge 4")+COUNTIF(C25:C26,"Anderledes dag")+COUNTIF(C25:C26,"Feriepasningsdag")+COUNTIF(C25:C26,"Pæd.dag")+COUNTIF(C25:C26,"Ekskursion")+COUNTIF(C25:C26,"Koloni")</f>
        <v>0</v>
      </c>
      <c r="B88" s="295"/>
      <c r="C88" s="295"/>
      <c r="D88" s="295"/>
      <c r="E88" s="295"/>
      <c r="F88" s="295"/>
      <c r="G88" s="295"/>
      <c r="H88" s="291"/>
      <c r="I88" s="33"/>
      <c r="J88" s="291"/>
      <c r="K88" s="291"/>
      <c r="L88" s="33"/>
      <c r="AA88"/>
      <c r="AB88"/>
      <c r="BS88"/>
      <c r="BT88"/>
      <c r="DG88" s="138"/>
    </row>
    <row r="89" spans="1:114" hidden="1">
      <c r="A89" s="295">
        <f>COUNTIF(C32:C33,"Normal uge 1")+COUNTIF(C32:C33,"Normal uge 2")+COUNTIF(C32:C33,"Normal uge 3")+COUNTIF(C32:C33,"Normal uge 4")+COUNTIF(C32:C33,"Anderledes dag")+COUNTIF(C32:C33,"Feriepasningsdag")+COUNTIF(C32:C33,"Koloni")+COUNTIF(C32:C33,"Ekskursion")+COUNTIF(C32:C33,"Pæd.dag")</f>
        <v>0</v>
      </c>
      <c r="B89" s="295"/>
      <c r="C89" s="295"/>
      <c r="D89" s="295"/>
      <c r="E89" s="288"/>
      <c r="F89" s="288"/>
      <c r="G89" s="288"/>
      <c r="H89" s="291"/>
      <c r="I89" s="33"/>
      <c r="J89" s="33"/>
      <c r="K89" s="33"/>
      <c r="L89" s="33"/>
      <c r="AA89"/>
      <c r="AB89"/>
      <c r="BS89"/>
      <c r="BT89"/>
      <c r="DG89" s="138"/>
    </row>
    <row r="90" spans="1:114" hidden="1">
      <c r="A90" s="295">
        <f>COUNTIF(C39:C40,"Normal uge 1")+COUNTIF(C39:C40,"Normal uge 2")+COUNTIF(C39:C40,"Normal uge 3")+COUNTIF(C39:C40,"Normal uge 4")+COUNTIF(C39:C40,"Anderledes dag")+COUNTIF(C39:C40,"Feriepasningsdag")+COUNTIF(C39:C40,"Koloni")+COUNTIF(C39:C40,"Ekskursion")+COUNTIF(C39:C40,"Pæd.dag")</f>
        <v>0</v>
      </c>
      <c r="B90" s="295"/>
      <c r="C90" s="295"/>
      <c r="D90" s="295"/>
      <c r="E90" s="288"/>
      <c r="F90" s="288"/>
      <c r="G90" s="288"/>
      <c r="H90" s="291"/>
      <c r="I90" s="33"/>
      <c r="J90" s="33"/>
      <c r="K90" s="33"/>
      <c r="L90" s="33"/>
      <c r="AA90"/>
      <c r="AB90"/>
      <c r="AF90" s="4"/>
      <c r="AG90" s="4"/>
      <c r="AH90" s="4"/>
      <c r="AI90" s="4"/>
      <c r="AJ90" s="4"/>
      <c r="AK90" s="4"/>
      <c r="AL90" s="4"/>
      <c r="AM90" s="127"/>
      <c r="AN90" s="127"/>
      <c r="AO90" s="127"/>
      <c r="AP90" s="127"/>
      <c r="BS90"/>
      <c r="BT90"/>
      <c r="BW90" s="4"/>
      <c r="BX90" s="4"/>
      <c r="BY90" s="4"/>
      <c r="BZ90" s="4"/>
      <c r="CA90" s="4"/>
      <c r="CB90" s="4"/>
      <c r="CC90" s="4"/>
      <c r="CD90" s="127"/>
      <c r="CE90" s="127"/>
      <c r="CF90" s="127"/>
      <c r="CG90" s="127"/>
      <c r="DI90" s="138"/>
      <c r="DJ90" s="138"/>
    </row>
    <row r="91" spans="1:114" hidden="1">
      <c r="A91" s="295"/>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f>SUM(A87:A91)</f>
        <v>0</v>
      </c>
      <c r="B92" s="295"/>
      <c r="C92" s="295"/>
      <c r="D92" s="295"/>
      <c r="E92" s="68"/>
      <c r="F92" s="68"/>
      <c r="G92" s="68"/>
      <c r="H92" s="33"/>
      <c r="I92" s="33"/>
      <c r="J92" s="33"/>
      <c r="K92" s="33"/>
      <c r="L92" s="33"/>
    </row>
    <row r="93" spans="1:114" hidden="1">
      <c r="A93" s="300"/>
      <c r="B93" s="300"/>
      <c r="C93" s="300"/>
      <c r="D93" s="300"/>
      <c r="E93" s="68"/>
      <c r="F93" s="68"/>
      <c r="G93" s="68"/>
      <c r="H93" s="33"/>
      <c r="I93" s="33"/>
      <c r="J93" s="33"/>
      <c r="K93" s="33"/>
      <c r="L93" s="33"/>
    </row>
    <row r="94" spans="1:114" hidden="1">
      <c r="A94" s="33"/>
      <c r="B94" s="33"/>
      <c r="C94" s="33"/>
      <c r="D94" s="33"/>
      <c r="E94" s="260"/>
      <c r="F94" s="260"/>
      <c r="G94" s="260"/>
      <c r="H94" s="260"/>
      <c r="I94" s="260"/>
      <c r="J94" s="260"/>
      <c r="K94" s="260"/>
      <c r="L94" s="260"/>
    </row>
    <row r="95" spans="1:114" hidden="1">
      <c r="A95" s="33"/>
      <c r="B95" s="33"/>
      <c r="C95" s="33"/>
      <c r="D95" s="33"/>
      <c r="E95" s="260"/>
      <c r="F95" s="260"/>
      <c r="G95" s="260"/>
      <c r="H95" s="260"/>
      <c r="I95" s="260"/>
      <c r="J95" s="260"/>
      <c r="K95" s="260"/>
      <c r="L95" s="260"/>
    </row>
    <row r="96" spans="1:114" hidden="1">
      <c r="A96" s="260"/>
      <c r="B96" s="260"/>
      <c r="C96" s="260"/>
      <c r="D96" s="260"/>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c r="A109" s="260"/>
      <c r="B109" s="260"/>
      <c r="C109" s="260"/>
      <c r="D109" s="260"/>
      <c r="E109" s="260"/>
      <c r="F109" s="260"/>
      <c r="G109" s="260"/>
      <c r="H109" s="260"/>
      <c r="I109" s="260"/>
      <c r="J109" s="260"/>
      <c r="K109" s="260"/>
      <c r="L109" s="260"/>
    </row>
    <row r="110" spans="1:12">
      <c r="A110" s="260"/>
      <c r="B110" s="260"/>
      <c r="C110" s="260"/>
      <c r="D110" s="260"/>
      <c r="E110" s="260"/>
      <c r="F110" s="260"/>
      <c r="G110" s="260"/>
      <c r="H110" s="260"/>
      <c r="I110" s="260"/>
      <c r="J110" s="260"/>
      <c r="K110" s="260"/>
      <c r="L110" s="260"/>
    </row>
    <row r="111" spans="1:12">
      <c r="A111" s="260"/>
      <c r="B111" s="260"/>
      <c r="C111" s="260"/>
      <c r="D111" s="260"/>
      <c r="E111" s="260"/>
      <c r="F111" s="260"/>
      <c r="G111" s="260"/>
      <c r="H111" s="260"/>
      <c r="I111" s="260"/>
      <c r="J111" s="260"/>
      <c r="K111" s="260"/>
      <c r="L111" s="260"/>
    </row>
    <row r="112" spans="1:12">
      <c r="A112" s="260"/>
      <c r="B112" s="260"/>
      <c r="C112" s="260"/>
      <c r="D112" s="260"/>
      <c r="E112" s="260"/>
      <c r="F112" s="260"/>
      <c r="G112" s="260"/>
      <c r="H112" s="260"/>
      <c r="I112" s="260"/>
      <c r="J112" s="260"/>
      <c r="K112" s="260"/>
      <c r="L112" s="260"/>
    </row>
    <row r="113" spans="1:12">
      <c r="A113" s="260"/>
      <c r="B113" s="260"/>
      <c r="C113" s="260"/>
      <c r="D113" s="260"/>
      <c r="E113" s="260"/>
      <c r="F113" s="260"/>
      <c r="G113" s="260"/>
      <c r="H113" s="260"/>
      <c r="I113" s="260"/>
      <c r="J113" s="260"/>
      <c r="K113" s="260"/>
      <c r="L113" s="260"/>
    </row>
    <row r="114" spans="1:12">
      <c r="A114" s="260"/>
      <c r="B114" s="260"/>
      <c r="C114" s="260"/>
      <c r="D114" s="260"/>
      <c r="E114" s="260"/>
      <c r="F114" s="260"/>
      <c r="G114" s="260"/>
      <c r="H114" s="260"/>
      <c r="I114" s="260"/>
      <c r="J114" s="260"/>
      <c r="K114" s="260"/>
      <c r="L114" s="260"/>
    </row>
    <row r="115" spans="1:12">
      <c r="A115" s="260"/>
      <c r="B115" s="260"/>
      <c r="C115" s="260"/>
      <c r="D115" s="260"/>
      <c r="E115" s="260"/>
      <c r="F115" s="260"/>
      <c r="G115" s="260"/>
      <c r="H115" s="260"/>
      <c r="I115" s="260"/>
      <c r="J115" s="260"/>
      <c r="K115" s="260"/>
      <c r="L115" s="260"/>
    </row>
    <row r="116" spans="1:12">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c r="L118" s="260"/>
    </row>
    <row r="119" spans="1:12">
      <c r="A119" s="260"/>
      <c r="B119" s="260"/>
      <c r="C119" s="260"/>
      <c r="D119" s="260"/>
      <c r="E119" s="260"/>
      <c r="F119" s="260"/>
      <c r="G119" s="260"/>
      <c r="H119" s="260"/>
      <c r="I119" s="260"/>
      <c r="J119" s="260"/>
      <c r="K119" s="260"/>
    </row>
    <row r="120" spans="1:12">
      <c r="A120" s="260"/>
      <c r="B120" s="260"/>
      <c r="C120" s="260"/>
      <c r="D120" s="260"/>
      <c r="E120" s="260"/>
      <c r="F120" s="260"/>
      <c r="G120" s="260"/>
      <c r="H120" s="260"/>
      <c r="I120" s="260"/>
      <c r="J120" s="260"/>
      <c r="K120" s="260"/>
    </row>
    <row r="121" spans="1:12">
      <c r="A121" s="260"/>
      <c r="B121" s="260"/>
      <c r="C121" s="260"/>
      <c r="D121" s="260"/>
      <c r="I121" s="260"/>
      <c r="J121" s="260"/>
      <c r="K121" s="260"/>
    </row>
    <row r="122" spans="1:12">
      <c r="A122" s="260"/>
      <c r="B122" s="260"/>
      <c r="C122" s="260"/>
      <c r="D122" s="260"/>
      <c r="J122" s="260"/>
      <c r="K122" s="260"/>
    </row>
    <row r="123" spans="1:12">
      <c r="A123" s="260"/>
      <c r="B123" s="260"/>
      <c r="C123" s="260"/>
      <c r="D123" s="260"/>
    </row>
    <row r="124" spans="1:12">
      <c r="A124" s="260"/>
      <c r="B124" s="260"/>
      <c r="C124" s="260"/>
      <c r="D124" s="260"/>
    </row>
    <row r="125" spans="1:12">
      <c r="A125" s="260"/>
      <c r="B125" s="260"/>
      <c r="C125" s="260"/>
      <c r="D125" s="260"/>
    </row>
    <row r="126" spans="1:12">
      <c r="A126" s="260"/>
      <c r="B126" s="260"/>
      <c r="C126" s="260"/>
      <c r="D126" s="260"/>
    </row>
  </sheetData>
  <sheetProtection sheet="1" objects="1" scenarios="1"/>
  <mergeCells count="116">
    <mergeCell ref="V1:X1"/>
    <mergeCell ref="A62:C62"/>
    <mergeCell ref="I54:J54"/>
    <mergeCell ref="N52:S52"/>
    <mergeCell ref="A55:H55"/>
    <mergeCell ref="I55:J55"/>
    <mergeCell ref="I56:J56"/>
    <mergeCell ref="L56:S56"/>
    <mergeCell ref="A60:C60"/>
    <mergeCell ref="A52:G52"/>
    <mergeCell ref="I52:J52"/>
    <mergeCell ref="A53:H53"/>
    <mergeCell ref="I53:J53"/>
    <mergeCell ref="N54:S54"/>
    <mergeCell ref="N55:S55"/>
    <mergeCell ref="N51:S51"/>
    <mergeCell ref="N53:S53"/>
    <mergeCell ref="A61:C61"/>
    <mergeCell ref="I49:J49"/>
    <mergeCell ref="N11:O11"/>
    <mergeCell ref="N12:O12"/>
    <mergeCell ref="N14:O14"/>
    <mergeCell ref="A11:M11"/>
    <mergeCell ref="E40:G40"/>
    <mergeCell ref="E41:G41"/>
    <mergeCell ref="E42:G42"/>
    <mergeCell ref="E43:G43"/>
    <mergeCell ref="L47:S48"/>
    <mergeCell ref="A48:G48"/>
    <mergeCell ref="I48:J48"/>
    <mergeCell ref="E44:G44"/>
    <mergeCell ref="A47:G47"/>
    <mergeCell ref="I47:J47"/>
    <mergeCell ref="P11:U11"/>
    <mergeCell ref="I50:J50"/>
    <mergeCell ref="A51:G51"/>
    <mergeCell ref="I51:J51"/>
    <mergeCell ref="L50:U50"/>
    <mergeCell ref="T51:U51"/>
    <mergeCell ref="E34:G34"/>
    <mergeCell ref="E35:G35"/>
    <mergeCell ref="E36:G36"/>
    <mergeCell ref="E37:G37"/>
    <mergeCell ref="A50:G50"/>
    <mergeCell ref="A49:G49"/>
    <mergeCell ref="E39:G39"/>
    <mergeCell ref="E38:G38"/>
    <mergeCell ref="E29:G29"/>
    <mergeCell ref="E15:G15"/>
    <mergeCell ref="E16:G16"/>
    <mergeCell ref="E17:G17"/>
    <mergeCell ref="E18:G18"/>
    <mergeCell ref="E19:G19"/>
    <mergeCell ref="E30:G30"/>
    <mergeCell ref="E31:G31"/>
    <mergeCell ref="E32:G32"/>
    <mergeCell ref="E33:G33"/>
    <mergeCell ref="E26:G26"/>
    <mergeCell ref="P14:R14"/>
    <mergeCell ref="S14:U14"/>
    <mergeCell ref="X12:AI12"/>
    <mergeCell ref="AJ12:AN12"/>
    <mergeCell ref="AO12:AS12"/>
    <mergeCell ref="AT12:AX12"/>
    <mergeCell ref="AY12:BC12"/>
    <mergeCell ref="BP12:BZ12"/>
    <mergeCell ref="E12:G14"/>
    <mergeCell ref="A2:D3"/>
    <mergeCell ref="A9:U9"/>
    <mergeCell ref="A10:D10"/>
    <mergeCell ref="E10:G10"/>
    <mergeCell ref="I10:J10"/>
    <mergeCell ref="K10:L10"/>
    <mergeCell ref="E2:Q3"/>
    <mergeCell ref="N10:O10"/>
    <mergeCell ref="A5:B5"/>
    <mergeCell ref="C5:D5"/>
    <mergeCell ref="E5:F5"/>
    <mergeCell ref="G5:H5"/>
    <mergeCell ref="I5:J5"/>
    <mergeCell ref="A6:B6"/>
    <mergeCell ref="C6:D6"/>
    <mergeCell ref="BD12:BH12"/>
    <mergeCell ref="BI12:BM12"/>
    <mergeCell ref="CU12:CY12"/>
    <mergeCell ref="CZ12:DD12"/>
    <mergeCell ref="K12:K13"/>
    <mergeCell ref="L12:L13"/>
    <mergeCell ref="M12:M13"/>
    <mergeCell ref="P12:U12"/>
    <mergeCell ref="I12:J12"/>
    <mergeCell ref="CA12:CT12"/>
    <mergeCell ref="H61:I61"/>
    <mergeCell ref="A4:H4"/>
    <mergeCell ref="A8:B8"/>
    <mergeCell ref="C8:D8"/>
    <mergeCell ref="E8:F8"/>
    <mergeCell ref="G8:H8"/>
    <mergeCell ref="H60:I60"/>
    <mergeCell ref="E6:F6"/>
    <mergeCell ref="G6:H6"/>
    <mergeCell ref="A7:B7"/>
    <mergeCell ref="C7:D7"/>
    <mergeCell ref="E7:F7"/>
    <mergeCell ref="G7:H7"/>
    <mergeCell ref="E25:G25"/>
    <mergeCell ref="E27:G27"/>
    <mergeCell ref="E28:G28"/>
    <mergeCell ref="A13:D14"/>
    <mergeCell ref="H13:H14"/>
    <mergeCell ref="I14:M14"/>
    <mergeCell ref="E20:G20"/>
    <mergeCell ref="E21:G21"/>
    <mergeCell ref="E22:G22"/>
    <mergeCell ref="E23:G23"/>
    <mergeCell ref="E24:G24"/>
  </mergeCells>
  <conditionalFormatting sqref="A15:H15 D16:H37 A16:C44 D38:E38 H38 D39:H44">
    <cfRule type="expression" dxfId="1053" priority="27">
      <formula>OR($C15="Orlov")</formula>
    </cfRule>
    <cfRule type="expression" dxfId="1052" priority="2" stopIfTrue="1">
      <formula>OR($C15="Normal uge 6")</formula>
    </cfRule>
    <cfRule type="expression" dxfId="1051" priority="3" stopIfTrue="1">
      <formula>OR($C15="Normal uge 5")</formula>
    </cfRule>
    <cfRule type="expression" dxfId="1050" priority="41" stopIfTrue="1">
      <formula>OR($C15="Rul 2")</formula>
    </cfRule>
    <cfRule type="expression" dxfId="1049" priority="40">
      <formula>OR($C15="weekend")</formula>
    </cfRule>
    <cfRule type="expression" dxfId="1048" priority="39">
      <formula>OR($C15="feriedag")</formula>
    </cfRule>
    <cfRule type="expression" dxfId="1047" priority="38" stopIfTrue="1">
      <formula>OR($C15="Ferieåbning")</formula>
    </cfRule>
    <cfRule type="expression" dxfId="1046" priority="37">
      <formula>OR($C15="Anderledes dag")</formula>
    </cfRule>
    <cfRule type="expression" dxfId="1045" priority="36">
      <formula>OR($C15="Koloni")</formula>
    </cfRule>
    <cfRule type="expression" dxfId="1044" priority="35">
      <formula>OR($C15="ekskursion")</formula>
    </cfRule>
    <cfRule type="expression" dxfId="1043" priority="34">
      <formula>OR($C15="SH-dag")</formula>
    </cfRule>
    <cfRule type="expression" dxfId="1042" priority="33">
      <formula>OR($C15="nul-dag")</formula>
    </cfRule>
    <cfRule type="expression" dxfId="1041" priority="16" stopIfTrue="1">
      <formula>OR($C15="Rul 6")</formula>
    </cfRule>
    <cfRule type="expression" dxfId="1040" priority="17" stopIfTrue="1">
      <formula>OR($C15="Rul 5")</formula>
    </cfRule>
    <cfRule type="expression" dxfId="1039" priority="18" stopIfTrue="1">
      <formula>OR($C15="Rul 4")</formula>
    </cfRule>
    <cfRule type="expression" dxfId="1038" priority="19" stopIfTrue="1">
      <formula>OR($C15="Rul 3")</formula>
    </cfRule>
    <cfRule type="expression" dxfId="1037" priority="20" stopIfTrue="1">
      <formula>OR($C15="Rul 1")</formula>
    </cfRule>
    <cfRule type="expression" dxfId="1036" priority="21">
      <formula>OR($C15="Normal uge 1")</formula>
    </cfRule>
    <cfRule type="expression" dxfId="1035" priority="32">
      <formula>OR($C15="pæd.dag")</formula>
    </cfRule>
    <cfRule type="expression" dxfId="1034" priority="31">
      <formula>OR($C15="Ikke relevant")</formula>
    </cfRule>
    <cfRule type="expression" dxfId="1033" priority="30">
      <formula>OR($C15="Normal uge 4")</formula>
    </cfRule>
    <cfRule type="expression" dxfId="1032" priority="29">
      <formula>OR($C15="Normal uge 3")</formula>
    </cfRule>
    <cfRule type="expression" dxfId="1031" priority="28">
      <formula>OR($C15="Normal uge 2")</formula>
    </cfRule>
  </conditionalFormatting>
  <conditionalFormatting sqref="E26">
    <cfRule type="expression" dxfId="1030" priority="52">
      <formula>OR($D25="Ikke relevant")</formula>
    </cfRule>
    <cfRule type="expression" dxfId="1029" priority="42">
      <formula>OR($D25="pæd.dag")</formula>
    </cfRule>
    <cfRule type="expression" dxfId="1028" priority="50">
      <formula>OR($D25="weekend")</formula>
    </cfRule>
    <cfRule type="expression" dxfId="1027" priority="49">
      <formula>OR($D25="feriedag")</formula>
    </cfRule>
    <cfRule type="expression" dxfId="1026" priority="48">
      <formula>OR($D25="fagdag")</formula>
    </cfRule>
    <cfRule type="expression" dxfId="1025" priority="47">
      <formula>OR($D25="emnedag")</formula>
    </cfRule>
    <cfRule type="expression" dxfId="1024" priority="46">
      <formula>OR($D25="lejrskole")</formula>
    </cfRule>
    <cfRule type="expression" dxfId="1023" priority="45">
      <formula>OR($D25="ekskursion")</formula>
    </cfRule>
    <cfRule type="expression" dxfId="1022" priority="44">
      <formula>OR($D25="SH-dag")</formula>
    </cfRule>
    <cfRule type="expression" dxfId="1021" priority="51" stopIfTrue="1">
      <formula>OR($D25="skoledag")</formula>
    </cfRule>
    <cfRule type="expression" dxfId="1020" priority="43">
      <formula>OR($D25="nul-dag")</formula>
    </cfRule>
  </conditionalFormatting>
  <conditionalFormatting sqref="I15:J44">
    <cfRule type="expression" dxfId="1019" priority="25">
      <formula>OR($C15="Koloni",)</formula>
    </cfRule>
    <cfRule type="expression" dxfId="1018" priority="15" stopIfTrue="1">
      <formula>OR($C15="Ferieåbning",)</formula>
    </cfRule>
    <cfRule type="expression" dxfId="1017" priority="14">
      <formula>OR($C15="Anderledes dag",)</formula>
    </cfRule>
    <cfRule type="expression" dxfId="1016" priority="13">
      <formula>OR($C15="Ekskursion",)</formula>
    </cfRule>
  </conditionalFormatting>
  <conditionalFormatting sqref="J15:J44">
    <cfRule type="expression" dxfId="1015" priority="26">
      <formula>OR($C15="Pæd.dag",)</formula>
    </cfRule>
  </conditionalFormatting>
  <conditionalFormatting sqref="M15:M44">
    <cfRule type="expression" dxfId="1014" priority="53">
      <formula>OR($H15&gt;"0",)</formula>
    </cfRule>
  </conditionalFormatting>
  <conditionalFormatting sqref="O15:O44">
    <cfRule type="expression" dxfId="1012" priority="8">
      <formula>OR($N15&gt;0,)</formula>
    </cfRule>
  </conditionalFormatting>
  <conditionalFormatting sqref="S15:S44">
    <cfRule type="expression" dxfId="1011" priority="24">
      <formula>OR($P15="X",)</formula>
    </cfRule>
  </conditionalFormatting>
  <conditionalFormatting sqref="T15:T44">
    <cfRule type="expression" dxfId="1010" priority="23">
      <formula>OR($Q15="X",)</formula>
    </cfRule>
  </conditionalFormatting>
  <conditionalFormatting sqref="T52:T55">
    <cfRule type="expression" dxfId="1009" priority="5">
      <formula>OR($L52&gt;0,)</formula>
    </cfRule>
  </conditionalFormatting>
  <conditionalFormatting sqref="U15:U44">
    <cfRule type="expression" dxfId="1008" priority="22">
      <formula>OR($R15="X",)</formula>
    </cfRule>
  </conditionalFormatting>
  <conditionalFormatting sqref="U52:U53 U55">
    <cfRule type="expression" dxfId="1007" priority="10">
      <formula>OR($M52&gt;0,)</formula>
    </cfRule>
  </conditionalFormatting>
  <conditionalFormatting sqref="U54:W54">
    <cfRule type="expression" dxfId="1006" priority="6">
      <formula>OR($M54&gt;0,)</formula>
    </cfRule>
  </conditionalFormatting>
  <conditionalFormatting sqref="BN55:BN57">
    <cfRule type="expression" dxfId="1005" priority="1">
      <formula>OR(#REF!&gt;0,)</formula>
    </cfRule>
  </conditionalFormatting>
  <conditionalFormatting sqref="BP54">
    <cfRule type="expression" dxfId="1004" priority="7">
      <formula>OR(#REF!&gt;0,)</formula>
    </cfRule>
  </conditionalFormatting>
  <conditionalFormatting sqref="BR57">
    <cfRule type="expression" dxfId="1003" priority="54">
      <formula>OR(#REF!&gt;0,)</formula>
    </cfRule>
  </conditionalFormatting>
  <dataValidations count="3">
    <dataValidation type="list" allowBlank="1" showInputMessage="1" showErrorMessage="1" sqref="R15:R43 P15:Q44 L52:M53 L55:M55" xr:uid="{142BAE44-5889-D64D-8EE9-75EDC2445780}">
      <formula1>$Y$1:$Y$2</formula1>
    </dataValidation>
    <dataValidation type="list" allowBlank="1" showInputMessage="1" sqref="C15:C44" xr:uid="{6DE45A9D-6D0C-C34B-A204-9E822153A3E8}">
      <formula1>$A$59:$A$81</formula1>
    </dataValidation>
    <dataValidation type="list" allowBlank="1" showInputMessage="1" showErrorMessage="1" sqref="L54:M54" xr:uid="{967CC089-8EE3-7448-8284-FF90D709AA9C}">
      <formula1>$AA$1:$AA$2</formula1>
    </dataValidation>
  </dataValidations>
  <hyperlinks>
    <hyperlink ref="A5:B5" location="'Normal uger'!A11" display="Normale uger" xr:uid="{1B817CE9-519B-8349-B1B2-238766B3B575}"/>
    <hyperlink ref="C5:D5" location="Rul!B20" display="Rul" xr:uid="{9515A0B2-DE26-4849-A0E6-2B34DDBCC547}"/>
    <hyperlink ref="E5:F5" location="Arbejdstidsoversigt!A19" display="Arbejdstids-oversigt" xr:uid="{DA6E7A78-8C1F-3B4B-A831-BCFD7B427480}"/>
    <hyperlink ref="G5:H5" location="Opgørelse!B12" display="Opgørelse" xr:uid="{9B643B37-0BDC-9A44-B0E6-06885EF5086A}"/>
    <hyperlink ref="A6:B6" location="August!A12" display="August" xr:uid="{B3EFE473-EBE2-2E40-84C6-F17439D72BA8}"/>
    <hyperlink ref="C6:D6" location="September!A8" display="September" xr:uid="{2058BBE8-1504-A643-A029-9CF001F61A1D}"/>
    <hyperlink ref="E6:F6" location="Oktober!A8" display="Oktober" xr:uid="{EFFC02D8-DCA7-A24B-9BC1-41970BD65FC1}"/>
    <hyperlink ref="G6:H6" location="November!A8" display="November" xr:uid="{AD1DC4A6-8E78-3844-B00D-71A198CD241E}"/>
    <hyperlink ref="A7:B7" location="December!A8" display="December" xr:uid="{F6E3D29E-BC46-F245-8AD2-D287324215BE}"/>
    <hyperlink ref="C7:D7" location="Januar!A8" display="Januar" xr:uid="{AF767AD4-4E13-3E4E-B0FE-2EA1D566B2E4}"/>
    <hyperlink ref="E7:F7" location="Februar!A8" display="Februar" xr:uid="{45844C6C-A1D2-9B4D-A67B-DACD9C91C551}"/>
    <hyperlink ref="A8:B8" location="April!A8" display="April" xr:uid="{5910929A-E4B1-6043-A7C7-D95ACE3B75FC}"/>
    <hyperlink ref="C8:D8" location="Maj!A8" display="Maj" xr:uid="{25A8D061-A54E-834E-B894-946D2783C94B}"/>
    <hyperlink ref="E8:F8" location="Juni!A8" display="Juni" xr:uid="{C6ABA68D-C1F5-EA40-8D5E-18DB4FF64E07}"/>
    <hyperlink ref="G8:H8" location="Juli!A8" display="Juli" xr:uid="{C2B49A85-8E26-CB44-9ADD-EA2A5722499E}"/>
    <hyperlink ref="G7:H7" location="Marts!A8" display="Marts" xr:uid="{8D72EFE5-890D-3144-8001-02C5DC72F35F}"/>
    <hyperlink ref="I5:J5" location="Stamoplysninger!E18" display="Stamoplysninger" xr:uid="{81EBBA61-4B20-F145-8CDF-A61D568B19C6}"/>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0212E876-0089-2247-A951-EE71100284D7}">
            <xm:f>OR(Arbejdstidsoversigt!$H$54="Puljetimer registreres ikke men afvikles jævnt hen over normperioden",)</xm:f>
            <x14:dxf>
              <fill>
                <patternFill>
                  <bgColor theme="1"/>
                </patternFill>
              </fill>
            </x14:dxf>
          </x14:cfRule>
          <xm:sqref>N15:N44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B5D8-8F9A-C143-98C8-6B25BD0A8BBA}">
  <sheetPr>
    <tabColor theme="4" tint="-0.249977111117893"/>
    <pageSetUpPr fitToPage="1"/>
  </sheetPr>
  <dimension ref="A1:DN127"/>
  <sheetViews>
    <sheetView topLeftCell="A11" zoomScaleNormal="100" workbookViewId="0">
      <selection activeCell="M40" sqref="M40"/>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0" width="11" customWidth="1"/>
    <col min="21" max="21" width="10.6640625"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8" width="10.83203125" hidden="1" customWidth="1"/>
    <col min="119" max="120" width="10.83203125" customWidth="1"/>
    <col min="121" max="121" width="31.1640625" customWidth="1"/>
    <col min="122" max="124" width="10.83203125"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94" customHeight="1">
      <c r="A2" s="886">
        <v>5</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11"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Maj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Januar!A12</f>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135</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5" si="0">CHOOSE(MOD(WEEKDAY(DATE(A$12,A$2,A15)),7)+1,"lø","sø","ma","ti","on","to","fr",)</f>
        <v>fr</v>
      </c>
      <c r="C15" s="73" t="s">
        <v>217</v>
      </c>
      <c r="D15" s="74" t="str">
        <f t="shared" ref="D15:D45"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5" si="2">IF(Q15="x",T15-L15,0)</f>
        <v>0</v>
      </c>
      <c r="X15" s="358">
        <f>IF($C$15="Anderledes dag",$I$15,0)</f>
        <v>0</v>
      </c>
      <c r="Y15" s="358">
        <f>IF(C15="Ferieåbning",I15,0)</f>
        <v>0</v>
      </c>
      <c r="Z15" s="358">
        <f t="shared" ref="Z15:Z45"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5" si="4">SUM(AJ15:AN15)*24</f>
        <v>0</v>
      </c>
      <c r="BP15" s="358">
        <f t="shared" ref="BP15:BP45" si="5">IF(C15="Anderledes dag",J15,0)</f>
        <v>0</v>
      </c>
      <c r="BQ15" s="358">
        <f t="shared" ref="BQ15:BQ45" si="6">IF(C15="Ferieåbning",J15,0)</f>
        <v>0</v>
      </c>
      <c r="BR15" s="358">
        <f t="shared" ref="BR15:BR45" si="7">IF(C15="Pæd.dag",J15,0)</f>
        <v>0</v>
      </c>
      <c r="BS15" s="358">
        <f t="shared" ref="BS15:BS45" si="8">IF(C15="Ekskursion",J15,0)</f>
        <v>0</v>
      </c>
      <c r="BT15" s="358">
        <f t="shared" ref="BT15:BT45"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5" si="10">IF(AND(E15&gt;0,H15&gt;0),""&amp;E15&amp;" og "&amp;H15&amp;"","")</f>
        <v/>
      </c>
      <c r="DG15">
        <f t="shared" ref="DG15:DG45" si="11">IF(H15="",E15,"")</f>
        <v>0</v>
      </c>
      <c r="DH15">
        <f t="shared" ref="DH15:DH45" si="12">IF(E15="",H15,"")</f>
        <v>0</v>
      </c>
      <c r="DI15" t="str">
        <f t="shared" ref="DI15:DK46" si="13">IF(DF15=0,"",DF15)</f>
        <v/>
      </c>
      <c r="DJ15" t="str">
        <f>IF(DG15=0,"",DG15)</f>
        <v/>
      </c>
      <c r="DK15" t="str">
        <f>IF(DH15=0,"",DH15)</f>
        <v/>
      </c>
      <c r="DL15" t="str">
        <f>DI15&amp;""&amp;DJ15&amp;""&amp;DK15</f>
        <v/>
      </c>
    </row>
    <row r="16" spans="1:116">
      <c r="A16" s="135">
        <f t="shared" ref="A16:A44" si="14">IF(ISNUMBER(A15),A15+1,1)</f>
        <v>2</v>
      </c>
      <c r="B16" s="72" t="str">
        <f t="shared" si="0"/>
        <v>lø</v>
      </c>
      <c r="C16" s="73" t="s">
        <v>77</v>
      </c>
      <c r="D16" s="74" t="str">
        <f t="shared" si="1"/>
        <v/>
      </c>
      <c r="E16" s="858"/>
      <c r="F16" s="859"/>
      <c r="G16" s="860"/>
      <c r="H16" s="175"/>
      <c r="I16" s="221"/>
      <c r="J16" s="221"/>
      <c r="K16" s="191">
        <f t="shared" ref="K16:K45" si="15">BN16</f>
        <v>0</v>
      </c>
      <c r="L16" s="191">
        <f t="shared" ref="L16:L45" si="16">DE16</f>
        <v>0</v>
      </c>
      <c r="M16" s="238"/>
      <c r="N16" s="357"/>
      <c r="O16" s="408"/>
      <c r="P16" s="195"/>
      <c r="Q16" s="196"/>
      <c r="R16" s="196"/>
      <c r="S16" s="192"/>
      <c r="T16" s="255"/>
      <c r="U16" s="193"/>
      <c r="V16">
        <f t="shared" ref="V16:V45" si="17">IF(P16="x",S16-K16,0)</f>
        <v>0</v>
      </c>
      <c r="W16">
        <f t="shared" si="2"/>
        <v>0</v>
      </c>
      <c r="X16" s="358">
        <f t="shared" ref="X16:X45" si="18">IF(C16="Anderledes dag",I16,0)</f>
        <v>0</v>
      </c>
      <c r="Y16" s="358">
        <f t="shared" ref="Y16:Y45" si="19">IF(C16="Ferieåbning",I16,0)</f>
        <v>0</v>
      </c>
      <c r="Z16" s="358">
        <f t="shared" si="3"/>
        <v>0</v>
      </c>
      <c r="AA16" s="358">
        <f t="shared" ref="AA16:AA45" si="20">IF(C16="Ekskursion",I16,0)</f>
        <v>0</v>
      </c>
      <c r="AB16" s="358">
        <f t="shared" ref="AB16:AB45"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5" si="23">SUM(BP16:DD16)</f>
        <v>0</v>
      </c>
      <c r="DF16" t="str">
        <f t="shared" si="10"/>
        <v/>
      </c>
      <c r="DG16">
        <f t="shared" si="11"/>
        <v>0</v>
      </c>
      <c r="DH16">
        <f t="shared" si="12"/>
        <v>0</v>
      </c>
      <c r="DI16" t="str">
        <f t="shared" si="13"/>
        <v/>
      </c>
      <c r="DJ16" t="str">
        <f t="shared" si="13"/>
        <v/>
      </c>
      <c r="DK16" t="str">
        <f t="shared" si="13"/>
        <v/>
      </c>
      <c r="DL16" t="str">
        <f t="shared" ref="DL16:DL45" si="24">DI16&amp;""&amp;DJ16&amp;""&amp;DK16</f>
        <v/>
      </c>
    </row>
    <row r="17" spans="1:116">
      <c r="A17" s="135">
        <f t="shared" si="14"/>
        <v>3</v>
      </c>
      <c r="B17" s="72" t="str">
        <f t="shared" si="0"/>
        <v>sø</v>
      </c>
      <c r="C17" s="73" t="s">
        <v>77</v>
      </c>
      <c r="D17" s="74" t="str">
        <f t="shared" si="1"/>
        <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ma</v>
      </c>
      <c r="C18" s="73" t="s">
        <v>217</v>
      </c>
      <c r="D18" s="74">
        <f t="shared" si="1"/>
        <v>18.571428571428573</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ti</v>
      </c>
      <c r="C19" s="73" t="s">
        <v>217</v>
      </c>
      <c r="D19" s="74" t="str">
        <f t="shared" si="1"/>
        <v/>
      </c>
      <c r="E19" s="858"/>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f t="shared" si="11"/>
        <v>0</v>
      </c>
      <c r="DH19">
        <f t="shared" si="12"/>
        <v>0</v>
      </c>
      <c r="DI19" t="str">
        <f t="shared" si="13"/>
        <v/>
      </c>
      <c r="DJ19" t="str">
        <f t="shared" si="13"/>
        <v/>
      </c>
      <c r="DK19" t="str">
        <f t="shared" si="13"/>
        <v/>
      </c>
      <c r="DL19" t="str">
        <f t="shared" si="24"/>
        <v/>
      </c>
    </row>
    <row r="20" spans="1:116" ht="16" customHeight="1">
      <c r="A20" s="135">
        <f t="shared" si="14"/>
        <v>6</v>
      </c>
      <c r="B20" s="72" t="str">
        <f t="shared" si="0"/>
        <v>on</v>
      </c>
      <c r="C20" s="73" t="s">
        <v>217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to</v>
      </c>
      <c r="C21" s="73" t="s">
        <v>217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fr</v>
      </c>
      <c r="C22" s="73" t="s">
        <v>217</v>
      </c>
      <c r="D22" s="74" t="str">
        <f t="shared" si="1"/>
        <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lø</v>
      </c>
      <c r="C23" s="73" t="s">
        <v>77</v>
      </c>
      <c r="D23" s="74" t="str">
        <f t="shared" si="1"/>
        <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sø</v>
      </c>
      <c r="C24" s="73" t="s">
        <v>77</v>
      </c>
      <c r="D24" s="74" t="str">
        <f t="shared" si="1"/>
        <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ma</v>
      </c>
      <c r="C25" s="73" t="s">
        <v>217</v>
      </c>
      <c r="D25" s="74">
        <f t="shared" si="1"/>
        <v>19.571428571428573</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ti</v>
      </c>
      <c r="C26" s="73" t="s">
        <v>217</v>
      </c>
      <c r="D26" s="74" t="str">
        <f t="shared" si="1"/>
        <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on</v>
      </c>
      <c r="C27" s="73" t="s">
        <v>217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to</v>
      </c>
      <c r="C28" s="73" t="s">
        <v>76</v>
      </c>
      <c r="D28" s="74" t="str">
        <f t="shared" si="1"/>
        <v/>
      </c>
      <c r="E28" s="861" t="s">
        <v>476</v>
      </c>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t="str">
        <f t="shared" si="11"/>
        <v>Kristi himmelfatsdag</v>
      </c>
      <c r="DH28" t="str">
        <f t="shared" si="12"/>
        <v/>
      </c>
      <c r="DI28" t="str">
        <f t="shared" si="13"/>
        <v/>
      </c>
      <c r="DJ28" t="str">
        <f t="shared" si="13"/>
        <v>Kristi himmelfatsdag</v>
      </c>
      <c r="DK28" t="str">
        <f t="shared" si="13"/>
        <v/>
      </c>
      <c r="DL28" t="str">
        <f t="shared" si="24"/>
        <v>Kristi himmelfatsdag</v>
      </c>
    </row>
    <row r="29" spans="1:116">
      <c r="A29" s="135">
        <f t="shared" si="14"/>
        <v>15</v>
      </c>
      <c r="B29" s="72" t="str">
        <f t="shared" si="0"/>
        <v>fr</v>
      </c>
      <c r="C29" s="73" t="s">
        <v>217</v>
      </c>
      <c r="D29" s="74" t="str">
        <f t="shared" si="1"/>
        <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lø</v>
      </c>
      <c r="C30" s="73" t="s">
        <v>77</v>
      </c>
      <c r="D30" s="74" t="str">
        <f t="shared" si="1"/>
        <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sø</v>
      </c>
      <c r="C31" s="73" t="s">
        <v>77</v>
      </c>
      <c r="D31" s="74" t="str">
        <f t="shared" si="1"/>
        <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ma</v>
      </c>
      <c r="C32" s="73" t="s">
        <v>217</v>
      </c>
      <c r="D32" s="74">
        <f t="shared" si="1"/>
        <v>20.571428571428573</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ti</v>
      </c>
      <c r="C33" s="73" t="s">
        <v>217</v>
      </c>
      <c r="D33" s="74" t="str">
        <f t="shared" si="1"/>
        <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on</v>
      </c>
      <c r="C34" s="73" t="s">
        <v>217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to</v>
      </c>
      <c r="C35" s="73" t="s">
        <v>217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fr</v>
      </c>
      <c r="C36" s="73" t="s">
        <v>217</v>
      </c>
      <c r="D36" s="74" t="str">
        <f t="shared" si="1"/>
        <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lø</v>
      </c>
      <c r="C37" s="73" t="s">
        <v>77</v>
      </c>
      <c r="D37" s="74" t="str">
        <f t="shared" si="1"/>
        <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sø</v>
      </c>
      <c r="C38" s="73" t="s">
        <v>77</v>
      </c>
      <c r="D38" s="74" t="str">
        <f t="shared" si="1"/>
        <v/>
      </c>
      <c r="E38" s="861" t="s">
        <v>103</v>
      </c>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t="str">
        <f t="shared" si="11"/>
        <v>Pinsedag</v>
      </c>
      <c r="DH38" t="str">
        <f t="shared" si="12"/>
        <v/>
      </c>
      <c r="DI38" t="str">
        <f t="shared" si="13"/>
        <v/>
      </c>
      <c r="DJ38" t="str">
        <f t="shared" si="13"/>
        <v>Pinsedag</v>
      </c>
      <c r="DK38" t="str">
        <f t="shared" si="13"/>
        <v/>
      </c>
      <c r="DL38" t="str">
        <f t="shared" si="24"/>
        <v>Pinsedag</v>
      </c>
    </row>
    <row r="39" spans="1:116">
      <c r="A39" s="135">
        <f t="shared" si="14"/>
        <v>25</v>
      </c>
      <c r="B39" s="72" t="str">
        <f t="shared" si="0"/>
        <v>ma</v>
      </c>
      <c r="C39" s="73" t="s">
        <v>76</v>
      </c>
      <c r="D39" s="74">
        <f t="shared" si="1"/>
        <v>21.571428571428573</v>
      </c>
      <c r="E39" s="858" t="s">
        <v>269</v>
      </c>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t="str">
        <f t="shared" si="11"/>
        <v>2. Pinsedag</v>
      </c>
      <c r="DH39" t="str">
        <f t="shared" si="12"/>
        <v/>
      </c>
      <c r="DI39" t="str">
        <f t="shared" si="13"/>
        <v/>
      </c>
      <c r="DJ39" t="str">
        <f t="shared" si="13"/>
        <v>2. Pinsedag</v>
      </c>
      <c r="DK39" t="str">
        <f t="shared" si="13"/>
        <v/>
      </c>
      <c r="DL39" t="str">
        <f t="shared" si="24"/>
        <v>2. Pinsedag</v>
      </c>
    </row>
    <row r="40" spans="1:116">
      <c r="A40" s="135">
        <f t="shared" si="14"/>
        <v>26</v>
      </c>
      <c r="B40" s="72" t="str">
        <f t="shared" si="0"/>
        <v>ti</v>
      </c>
      <c r="C40" s="73" t="s">
        <v>217</v>
      </c>
      <c r="D40" s="74" t="str">
        <f t="shared" si="1"/>
        <v/>
      </c>
      <c r="E40" s="858"/>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f t="shared" si="11"/>
        <v>0</v>
      </c>
      <c r="DH40">
        <f t="shared" si="12"/>
        <v>0</v>
      </c>
      <c r="DI40" t="str">
        <f t="shared" si="13"/>
        <v/>
      </c>
      <c r="DJ40" t="str">
        <f t="shared" si="13"/>
        <v/>
      </c>
      <c r="DK40" t="str">
        <f t="shared" si="13"/>
        <v/>
      </c>
      <c r="DL40" t="str">
        <f t="shared" si="24"/>
        <v/>
      </c>
    </row>
    <row r="41" spans="1:116">
      <c r="A41" s="135">
        <f t="shared" si="14"/>
        <v>27</v>
      </c>
      <c r="B41" s="72" t="str">
        <f t="shared" si="0"/>
        <v>on</v>
      </c>
      <c r="C41" s="73" t="s">
        <v>217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to</v>
      </c>
      <c r="C42" s="73" t="s">
        <v>217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c r="A43" s="135">
        <f>IF(ISNUMBER(A42),A42+1,1)</f>
        <v>29</v>
      </c>
      <c r="B43" s="72" t="str">
        <f t="shared" si="0"/>
        <v>fr</v>
      </c>
      <c r="C43" s="73" t="s">
        <v>217</v>
      </c>
      <c r="D43" s="74" t="str">
        <f t="shared" si="1"/>
        <v/>
      </c>
      <c r="E43" s="858"/>
      <c r="F43" s="859"/>
      <c r="G43" s="860"/>
      <c r="H43" s="175"/>
      <c r="I43" s="221"/>
      <c r="J43" s="221"/>
      <c r="K43" s="191">
        <f t="shared" si="15"/>
        <v>0</v>
      </c>
      <c r="L43" s="191">
        <f t="shared" si="16"/>
        <v>0</v>
      </c>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10"/>
        <v/>
      </c>
      <c r="DG43">
        <f t="shared" si="11"/>
        <v>0</v>
      </c>
      <c r="DH43">
        <f t="shared" si="12"/>
        <v>0</v>
      </c>
      <c r="DI43" t="str">
        <f t="shared" si="13"/>
        <v/>
      </c>
      <c r="DJ43" t="str">
        <f t="shared" si="13"/>
        <v/>
      </c>
      <c r="DK43" t="str">
        <f t="shared" si="13"/>
        <v/>
      </c>
      <c r="DL43" t="str">
        <f t="shared" si="24"/>
        <v/>
      </c>
    </row>
    <row r="44" spans="1:116">
      <c r="A44" s="135">
        <f t="shared" si="14"/>
        <v>30</v>
      </c>
      <c r="B44" s="72" t="str">
        <f t="shared" si="0"/>
        <v>lø</v>
      </c>
      <c r="C44" s="73" t="s">
        <v>77</v>
      </c>
      <c r="D44" s="74" t="str">
        <f t="shared" si="1"/>
        <v/>
      </c>
      <c r="E44" s="858"/>
      <c r="F44" s="859"/>
      <c r="G44" s="860"/>
      <c r="H44" s="175"/>
      <c r="I44" s="221"/>
      <c r="J44" s="221"/>
      <c r="K44" s="191">
        <f t="shared" si="15"/>
        <v>0</v>
      </c>
      <c r="L44" s="191">
        <f t="shared" si="16"/>
        <v>0</v>
      </c>
      <c r="M44" s="238"/>
      <c r="N44" s="357"/>
      <c r="O44" s="408"/>
      <c r="P44" s="195"/>
      <c r="Q44" s="196"/>
      <c r="R44" s="254"/>
      <c r="S44" s="192"/>
      <c r="T44" s="255"/>
      <c r="U44" s="193"/>
      <c r="V44">
        <f t="shared" si="17"/>
        <v>0</v>
      </c>
      <c r="W44">
        <f t="shared" si="2"/>
        <v>0</v>
      </c>
      <c r="X44" s="358">
        <f t="shared" si="18"/>
        <v>0</v>
      </c>
      <c r="Y44" s="358">
        <f t="shared" si="19"/>
        <v>0</v>
      </c>
      <c r="Z44" s="358">
        <f t="shared" si="3"/>
        <v>0</v>
      </c>
      <c r="AA44" s="358">
        <f t="shared" si="20"/>
        <v>0</v>
      </c>
      <c r="AB44" s="358">
        <f t="shared" si="21"/>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2"/>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10"/>
        <v/>
      </c>
      <c r="DG44">
        <f t="shared" si="11"/>
        <v>0</v>
      </c>
      <c r="DH44">
        <f t="shared" si="12"/>
        <v>0</v>
      </c>
      <c r="DI44" t="str">
        <f t="shared" si="13"/>
        <v/>
      </c>
      <c r="DJ44" t="str">
        <f t="shared" si="13"/>
        <v/>
      </c>
      <c r="DK44" t="str">
        <f t="shared" si="13"/>
        <v/>
      </c>
      <c r="DL44" t="str">
        <f t="shared" si="24"/>
        <v/>
      </c>
    </row>
    <row r="45" spans="1:116">
      <c r="A45" s="135">
        <f>IF(ISNUMBER(A44),A44+1,1)</f>
        <v>31</v>
      </c>
      <c r="B45" s="72" t="str">
        <f t="shared" si="0"/>
        <v>sø</v>
      </c>
      <c r="C45" s="73" t="s">
        <v>77</v>
      </c>
      <c r="D45" s="74" t="str">
        <f t="shared" si="1"/>
        <v/>
      </c>
      <c r="E45" s="861"/>
      <c r="F45" s="862"/>
      <c r="G45" s="863"/>
      <c r="H45" s="174"/>
      <c r="I45" s="221"/>
      <c r="J45" s="221"/>
      <c r="K45" s="191">
        <f t="shared" si="15"/>
        <v>0</v>
      </c>
      <c r="L45" s="191">
        <f t="shared" si="16"/>
        <v>0</v>
      </c>
      <c r="M45" s="238"/>
      <c r="N45" s="357"/>
      <c r="O45" s="408"/>
      <c r="P45" s="195"/>
      <c r="Q45" s="196"/>
      <c r="R45" s="118"/>
      <c r="S45" s="192"/>
      <c r="T45" s="255"/>
      <c r="U45" s="256"/>
      <c r="V45">
        <f t="shared" si="17"/>
        <v>0</v>
      </c>
      <c r="W45">
        <f t="shared" si="2"/>
        <v>0</v>
      </c>
      <c r="X45" s="358">
        <f t="shared" si="18"/>
        <v>0</v>
      </c>
      <c r="Y45" s="358">
        <f t="shared" si="19"/>
        <v>0</v>
      </c>
      <c r="Z45" s="358">
        <f t="shared" si="3"/>
        <v>0</v>
      </c>
      <c r="AA45" s="358">
        <f t="shared" si="20"/>
        <v>0</v>
      </c>
      <c r="AB45" s="358">
        <f t="shared" si="21"/>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 t="shared" ref="BN45" si="25">SUM(X45:BC45)</f>
        <v>0</v>
      </c>
      <c r="BO45" s="125">
        <f t="shared" si="4"/>
        <v>0</v>
      </c>
      <c r="BP45" s="358">
        <f t="shared" si="5"/>
        <v>0</v>
      </c>
      <c r="BQ45" s="358">
        <f t="shared" si="6"/>
        <v>0</v>
      </c>
      <c r="BR45" s="358">
        <f t="shared" si="7"/>
        <v>0</v>
      </c>
      <c r="BS45" s="358">
        <f t="shared" si="8"/>
        <v>0</v>
      </c>
      <c r="BT45" s="358">
        <f t="shared" si="9"/>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3"/>
        <v>0</v>
      </c>
      <c r="DF45" t="str">
        <f t="shared" si="10"/>
        <v/>
      </c>
      <c r="DG45">
        <f t="shared" si="11"/>
        <v>0</v>
      </c>
      <c r="DH45">
        <f t="shared" si="12"/>
        <v>0</v>
      </c>
      <c r="DI45" t="str">
        <f t="shared" si="13"/>
        <v/>
      </c>
      <c r="DJ45" t="str">
        <f t="shared" si="13"/>
        <v/>
      </c>
      <c r="DK45" t="str">
        <f t="shared" si="13"/>
        <v/>
      </c>
      <c r="DL45" t="str">
        <f t="shared" si="24"/>
        <v/>
      </c>
    </row>
    <row r="46" spans="1:116" ht="17" thickBot="1">
      <c r="A46" s="368" t="s">
        <v>127</v>
      </c>
      <c r="B46" s="369"/>
      <c r="C46" s="369"/>
      <c r="D46" s="369"/>
      <c r="E46" s="369"/>
      <c r="F46" s="369"/>
      <c r="G46" s="369"/>
      <c r="H46" s="369"/>
      <c r="I46" s="194"/>
      <c r="J46" s="194"/>
      <c r="K46" s="194">
        <f>SUM(K15:K45)</f>
        <v>0</v>
      </c>
      <c r="L46" s="194">
        <f t="shared" ref="L46" si="26">SUM(L15:L45)</f>
        <v>0</v>
      </c>
      <c r="M46"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1"/>
      <c r="O46" s="412">
        <f>SUM(O15:O45)</f>
        <v>0</v>
      </c>
      <c r="P46" s="249"/>
      <c r="Q46" s="250"/>
      <c r="R46" s="250"/>
      <c r="S46"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8">
        <f>W15+W16+W17+W18+W19+W20+W21+W22+W23+W24+W25+W26+W27+W28+W29+W30+W31+W32+W33+W34+W35+W36+W37+W38+W39+W40+W41+W42+W43+W44+W45</f>
        <v>0</v>
      </c>
      <c r="X46" s="129">
        <f t="shared" ref="X46:AC46" si="27">SUM(X15:X45)</f>
        <v>0</v>
      </c>
      <c r="Y46" s="129">
        <f t="shared" si="27"/>
        <v>0</v>
      </c>
      <c r="Z46" s="129">
        <f t="shared" si="27"/>
        <v>0</v>
      </c>
      <c r="AA46" s="129">
        <f t="shared" si="27"/>
        <v>0</v>
      </c>
      <c r="AB46" s="129">
        <f t="shared" si="27"/>
        <v>0</v>
      </c>
      <c r="AC46" s="129">
        <f t="shared" si="27"/>
        <v>0</v>
      </c>
      <c r="AD46">
        <f t="shared" ref="AD46:BM46" si="28">COUNTIF(AD15:AD45,"&gt;0")</f>
        <v>0</v>
      </c>
      <c r="AE46">
        <f t="shared" si="28"/>
        <v>0</v>
      </c>
      <c r="AF46">
        <f t="shared" si="28"/>
        <v>0</v>
      </c>
      <c r="AG46">
        <f t="shared" si="28"/>
        <v>0</v>
      </c>
      <c r="AH46">
        <f t="shared" si="28"/>
        <v>0</v>
      </c>
      <c r="AI46">
        <f t="shared" si="28"/>
        <v>0</v>
      </c>
      <c r="AJ46">
        <f t="shared" si="28"/>
        <v>0</v>
      </c>
      <c r="AK46">
        <f t="shared" si="28"/>
        <v>0</v>
      </c>
      <c r="AL46">
        <f t="shared" si="28"/>
        <v>0</v>
      </c>
      <c r="AM46">
        <f t="shared" si="28"/>
        <v>0</v>
      </c>
      <c r="AN46">
        <f t="shared" si="28"/>
        <v>0</v>
      </c>
      <c r="AO46">
        <f t="shared" si="28"/>
        <v>0</v>
      </c>
      <c r="AP46">
        <f t="shared" si="28"/>
        <v>0</v>
      </c>
      <c r="AQ46">
        <f t="shared" si="28"/>
        <v>0</v>
      </c>
      <c r="AR46">
        <f t="shared" si="28"/>
        <v>0</v>
      </c>
      <c r="AS46">
        <f t="shared" si="28"/>
        <v>0</v>
      </c>
      <c r="AT46">
        <f t="shared" si="28"/>
        <v>0</v>
      </c>
      <c r="AU46">
        <f t="shared" si="28"/>
        <v>0</v>
      </c>
      <c r="AV46">
        <f t="shared" si="28"/>
        <v>0</v>
      </c>
      <c r="AW46">
        <f t="shared" si="28"/>
        <v>0</v>
      </c>
      <c r="AX46">
        <f t="shared" si="28"/>
        <v>0</v>
      </c>
      <c r="AY46">
        <f t="shared" si="28"/>
        <v>0</v>
      </c>
      <c r="AZ46">
        <f t="shared" si="28"/>
        <v>0</v>
      </c>
      <c r="BA46">
        <f t="shared" si="28"/>
        <v>0</v>
      </c>
      <c r="BB46">
        <f t="shared" si="28"/>
        <v>0</v>
      </c>
      <c r="BC46">
        <f t="shared" si="28"/>
        <v>0</v>
      </c>
      <c r="BD46">
        <f t="shared" si="28"/>
        <v>0</v>
      </c>
      <c r="BE46">
        <f t="shared" si="28"/>
        <v>0</v>
      </c>
      <c r="BF46">
        <f t="shared" si="28"/>
        <v>0</v>
      </c>
      <c r="BG46">
        <f t="shared" si="28"/>
        <v>0</v>
      </c>
      <c r="BH46">
        <f t="shared" si="28"/>
        <v>0</v>
      </c>
      <c r="BI46">
        <f t="shared" si="28"/>
        <v>0</v>
      </c>
      <c r="BJ46">
        <f t="shared" si="28"/>
        <v>0</v>
      </c>
      <c r="BK46">
        <f t="shared" si="28"/>
        <v>0</v>
      </c>
      <c r="BL46">
        <f t="shared" si="28"/>
        <v>0</v>
      </c>
      <c r="BM46">
        <f t="shared" si="28"/>
        <v>0</v>
      </c>
      <c r="BN46" s="1">
        <f>SUM(BN15:BN45)</f>
        <v>0</v>
      </c>
      <c r="BO46" s="62"/>
      <c r="BP46" s="129">
        <f t="shared" ref="BP46:BT46" si="29">SUM(BP15:BP45)</f>
        <v>0</v>
      </c>
      <c r="BQ46" s="129">
        <f t="shared" si="29"/>
        <v>0</v>
      </c>
      <c r="BR46" s="129">
        <f t="shared" si="29"/>
        <v>0</v>
      </c>
      <c r="BS46" s="129">
        <f t="shared" si="29"/>
        <v>0</v>
      </c>
      <c r="BT46" s="129">
        <f t="shared" si="29"/>
        <v>0</v>
      </c>
      <c r="BU46" s="129"/>
      <c r="BV46" s="129"/>
      <c r="BW46" s="129"/>
      <c r="BX46" s="129"/>
      <c r="BY46" s="129"/>
      <c r="BZ46" s="129"/>
      <c r="CA46">
        <f t="shared" ref="CA46:DD46" si="30">COUNTIF(CA15:CA45,"&gt;0")</f>
        <v>0</v>
      </c>
      <c r="CB46">
        <f t="shared" si="30"/>
        <v>0</v>
      </c>
      <c r="CC46">
        <f t="shared" si="30"/>
        <v>0</v>
      </c>
      <c r="CD46">
        <f t="shared" si="30"/>
        <v>0</v>
      </c>
      <c r="CE46">
        <f t="shared" si="30"/>
        <v>0</v>
      </c>
      <c r="CF46">
        <f t="shared" si="30"/>
        <v>0</v>
      </c>
      <c r="CG46">
        <f t="shared" si="30"/>
        <v>0</v>
      </c>
      <c r="CH46">
        <f t="shared" si="30"/>
        <v>0</v>
      </c>
      <c r="CI46">
        <f t="shared" si="30"/>
        <v>0</v>
      </c>
      <c r="CJ46">
        <f t="shared" si="30"/>
        <v>0</v>
      </c>
      <c r="CK46">
        <f t="shared" si="30"/>
        <v>0</v>
      </c>
      <c r="CL46">
        <f t="shared" si="30"/>
        <v>0</v>
      </c>
      <c r="CM46">
        <f t="shared" si="30"/>
        <v>0</v>
      </c>
      <c r="CN46">
        <f t="shared" si="30"/>
        <v>0</v>
      </c>
      <c r="CO46">
        <f t="shared" si="30"/>
        <v>0</v>
      </c>
      <c r="CP46">
        <f t="shared" si="30"/>
        <v>0</v>
      </c>
      <c r="CQ46">
        <f t="shared" si="30"/>
        <v>0</v>
      </c>
      <c r="CR46">
        <f t="shared" si="30"/>
        <v>0</v>
      </c>
      <c r="CS46">
        <f t="shared" si="30"/>
        <v>0</v>
      </c>
      <c r="CT46">
        <f t="shared" si="30"/>
        <v>0</v>
      </c>
      <c r="CU46">
        <f t="shared" si="30"/>
        <v>0</v>
      </c>
      <c r="CV46">
        <f t="shared" si="30"/>
        <v>0</v>
      </c>
      <c r="CW46">
        <f t="shared" si="30"/>
        <v>0</v>
      </c>
      <c r="CX46">
        <f t="shared" si="30"/>
        <v>0</v>
      </c>
      <c r="CY46">
        <f t="shared" si="30"/>
        <v>0</v>
      </c>
      <c r="CZ46">
        <f t="shared" si="30"/>
        <v>0</v>
      </c>
      <c r="DA46">
        <f t="shared" si="30"/>
        <v>0</v>
      </c>
      <c r="DB46">
        <f t="shared" si="30"/>
        <v>0</v>
      </c>
      <c r="DC46">
        <f t="shared" si="30"/>
        <v>0</v>
      </c>
      <c r="DD46">
        <f t="shared" si="30"/>
        <v>0</v>
      </c>
      <c r="DJ46" t="str">
        <f t="shared" si="13"/>
        <v/>
      </c>
      <c r="DK46" t="str">
        <f t="shared" si="13"/>
        <v/>
      </c>
      <c r="DL46" t="str">
        <f t="shared" ref="DL46" si="31">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7"/>
      <c r="AA47" s="137"/>
      <c r="AB47" s="115"/>
      <c r="AC47" s="129"/>
      <c r="AD47" s="115"/>
      <c r="AE47" s="115"/>
      <c r="AF47" s="129"/>
      <c r="AG47" s="129"/>
      <c r="AH47" s="129"/>
      <c r="AI47" s="129"/>
      <c r="AJ47" s="129"/>
      <c r="AK47" s="129"/>
      <c r="AL47" s="129"/>
      <c r="AM47" s="129"/>
      <c r="AN47" s="129"/>
      <c r="AO47" s="129"/>
      <c r="BR47" s="257"/>
      <c r="BS47" s="137"/>
      <c r="BT47" s="137"/>
      <c r="BU47" s="129"/>
      <c r="BV47" s="115"/>
      <c r="BW47" s="129"/>
      <c r="BX47" s="129"/>
      <c r="BY47" s="129"/>
      <c r="BZ47" s="129"/>
      <c r="CA47" s="34">
        <f>IF(OR(CA15&gt;0.1,AJ15&gt;0),1,0)+IF(OR(CA16&gt;0.1,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f>
        <v>0</v>
      </c>
      <c r="CB47" s="34">
        <f t="shared" ref="CB47:DD47" si="32">IF(OR(CB15&gt;0.1,AK15&gt;0),1,0)+IF(OR(CB16&gt;0.1,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f>
        <v>0</v>
      </c>
      <c r="CC47" s="34">
        <f t="shared" si="32"/>
        <v>0</v>
      </c>
      <c r="CD47" s="34">
        <f t="shared" si="32"/>
        <v>0</v>
      </c>
      <c r="CE47" s="34">
        <f t="shared" si="32"/>
        <v>0</v>
      </c>
      <c r="CF47" s="34">
        <f t="shared" si="32"/>
        <v>0</v>
      </c>
      <c r="CG47" s="34">
        <f t="shared" si="32"/>
        <v>0</v>
      </c>
      <c r="CH47" s="34">
        <f t="shared" si="32"/>
        <v>0</v>
      </c>
      <c r="CI47" s="34">
        <f t="shared" si="32"/>
        <v>0</v>
      </c>
      <c r="CJ47" s="34">
        <f t="shared" si="32"/>
        <v>0</v>
      </c>
      <c r="CK47" s="34">
        <f t="shared" si="32"/>
        <v>0</v>
      </c>
      <c r="CL47" s="34">
        <f t="shared" si="32"/>
        <v>0</v>
      </c>
      <c r="CM47" s="34">
        <f t="shared" si="32"/>
        <v>0</v>
      </c>
      <c r="CN47" s="34">
        <f t="shared" si="32"/>
        <v>0</v>
      </c>
      <c r="CO47" s="34">
        <f t="shared" si="32"/>
        <v>0</v>
      </c>
      <c r="CP47" s="34">
        <f t="shared" si="32"/>
        <v>0</v>
      </c>
      <c r="CQ47" s="34">
        <f t="shared" si="32"/>
        <v>0</v>
      </c>
      <c r="CR47" s="34">
        <f t="shared" si="32"/>
        <v>0</v>
      </c>
      <c r="CS47" s="34">
        <f t="shared" si="32"/>
        <v>0</v>
      </c>
      <c r="CT47" s="34">
        <f t="shared" si="32"/>
        <v>0</v>
      </c>
      <c r="CU47" s="34">
        <f t="shared" si="32"/>
        <v>0</v>
      </c>
      <c r="CV47" s="34">
        <f t="shared" si="32"/>
        <v>0</v>
      </c>
      <c r="CW47" s="34">
        <f t="shared" si="32"/>
        <v>0</v>
      </c>
      <c r="CX47" s="34">
        <f t="shared" si="32"/>
        <v>0</v>
      </c>
      <c r="CY47" s="34">
        <f t="shared" si="32"/>
        <v>0</v>
      </c>
      <c r="CZ47" s="34">
        <f t="shared" si="32"/>
        <v>0</v>
      </c>
      <c r="DA47" s="34">
        <f t="shared" si="32"/>
        <v>0</v>
      </c>
      <c r="DB47" s="34">
        <f t="shared" si="32"/>
        <v>0</v>
      </c>
      <c r="DC47" s="34">
        <f t="shared" si="32"/>
        <v>0</v>
      </c>
      <c r="DD47" s="34">
        <f t="shared" si="32"/>
        <v>0</v>
      </c>
    </row>
    <row r="48" spans="1:116" ht="70" customHeight="1">
      <c r="A48" s="873" t="str">
        <f>"Arbejdstid for "&amp;A13&amp;" måned:"</f>
        <v>Arbejdstid for Maj måned:</v>
      </c>
      <c r="B48" s="874"/>
      <c r="C48" s="874"/>
      <c r="D48" s="874"/>
      <c r="E48" s="874"/>
      <c r="F48" s="874"/>
      <c r="G48" s="874"/>
      <c r="H48" s="201" t="s">
        <v>126</v>
      </c>
      <c r="I48" s="923" t="s">
        <v>115</v>
      </c>
      <c r="J48" s="924"/>
      <c r="K48" s="150"/>
      <c r="L48" s="974" t="s">
        <v>264</v>
      </c>
      <c r="M48" s="975"/>
      <c r="N48" s="975"/>
      <c r="O48" s="975"/>
      <c r="P48" s="975"/>
      <c r="Q48" s="975"/>
      <c r="R48" s="975"/>
      <c r="S48" s="976"/>
      <c r="T48" s="598" t="s">
        <v>361</v>
      </c>
      <c r="U48" s="373" t="s">
        <v>257</v>
      </c>
      <c r="V48" s="303"/>
      <c r="W48" s="117"/>
      <c r="X48" s="130"/>
      <c r="Y48" s="130"/>
      <c r="Z48" s="130"/>
      <c r="AA48"/>
      <c r="AB48"/>
      <c r="AK48" s="56"/>
      <c r="AL48" s="56"/>
      <c r="BO48" s="117"/>
      <c r="BP48" s="117"/>
      <c r="BQ48" s="130"/>
      <c r="BR48" s="130"/>
      <c r="BS48"/>
      <c r="BT48"/>
      <c r="CB48" s="56"/>
      <c r="CC48" s="56"/>
    </row>
    <row r="49" spans="1:114" ht="24" customHeight="1">
      <c r="A49" s="875" t="s">
        <v>270</v>
      </c>
      <c r="B49" s="876"/>
      <c r="C49" s="876"/>
      <c r="D49" s="876"/>
      <c r="E49" s="876"/>
      <c r="F49" s="876"/>
      <c r="G49" s="876"/>
      <c r="H49" s="145">
        <f>D83-D81-A93-D80</f>
        <v>21</v>
      </c>
      <c r="I49" s="852">
        <f>J65</f>
        <v>0</v>
      </c>
      <c r="J49" s="853"/>
      <c r="K49" s="147"/>
      <c r="L49" s="977"/>
      <c r="M49" s="978"/>
      <c r="N49" s="978"/>
      <c r="O49" s="978"/>
      <c r="P49" s="978"/>
      <c r="Q49" s="978"/>
      <c r="R49" s="978"/>
      <c r="S49" s="979"/>
      <c r="T49" s="392">
        <f>April!T56</f>
        <v>0</v>
      </c>
      <c r="U49" s="355"/>
      <c r="V49" s="303"/>
      <c r="W49" s="130"/>
      <c r="X49" s="130"/>
      <c r="Y49" s="130"/>
      <c r="Z49" s="130"/>
      <c r="AA49"/>
      <c r="AB49"/>
      <c r="AK49" s="56"/>
      <c r="AL49" s="56"/>
      <c r="BO49" s="130"/>
      <c r="BP49" s="130"/>
      <c r="BQ49" s="130"/>
      <c r="BR49" s="130"/>
      <c r="BS49"/>
      <c r="BT49"/>
      <c r="CB49" s="56"/>
      <c r="CC49" s="56"/>
    </row>
    <row r="50" spans="1:114" ht="31" customHeight="1">
      <c r="A50" s="875" t="str">
        <f>"Ferie "&amp;A13&amp;" måned"</f>
        <v>Ferie Maj måned</v>
      </c>
      <c r="B50" s="876"/>
      <c r="C50" s="876"/>
      <c r="D50" s="876"/>
      <c r="E50" s="876"/>
      <c r="F50" s="876"/>
      <c r="G50" s="876"/>
      <c r="H50" s="146" t="str">
        <f>IF(D77&gt;0,$D$77,"0")</f>
        <v>0</v>
      </c>
      <c r="I50" s="961">
        <f>H50*7.4*Stamoplysninger!E21</f>
        <v>0</v>
      </c>
      <c r="J50" s="962"/>
      <c r="K50" s="147"/>
      <c r="L50" s="948" t="s">
        <v>265</v>
      </c>
      <c r="M50" s="949"/>
      <c r="N50" s="949"/>
      <c r="O50" s="949"/>
      <c r="P50" s="949"/>
      <c r="Q50" s="949"/>
      <c r="R50" s="949"/>
      <c r="S50" s="955"/>
      <c r="T50" s="592"/>
      <c r="U50" s="356"/>
      <c r="V50" s="303"/>
      <c r="W50" s="130"/>
      <c r="X50" s="130"/>
      <c r="Y50" s="130"/>
      <c r="Z50" s="130"/>
      <c r="AA50"/>
      <c r="AB50"/>
      <c r="AK50" s="56"/>
      <c r="AL50" s="56"/>
      <c r="BO50" s="130"/>
      <c r="BP50" s="130"/>
      <c r="BQ50" s="130"/>
      <c r="BR50" s="130"/>
      <c r="BS50"/>
      <c r="BT50"/>
      <c r="CB50" s="56"/>
      <c r="CC50" s="56"/>
    </row>
    <row r="51" spans="1:114" ht="24" customHeight="1">
      <c r="A51" s="875" t="str">
        <f>"Søgnehelligdage i "&amp;A13&amp;" måned"</f>
        <v>Søgnehelligdage i Maj måned</v>
      </c>
      <c r="B51" s="876"/>
      <c r="C51" s="876"/>
      <c r="D51" s="876"/>
      <c r="E51" s="876"/>
      <c r="F51" s="876"/>
      <c r="G51" s="876"/>
      <c r="H51" s="146">
        <f>IF(D82&gt;0,D82,0)</f>
        <v>2</v>
      </c>
      <c r="I51" s="961">
        <f>H51*7.4*Stamoplysninger!E21</f>
        <v>0</v>
      </c>
      <c r="J51" s="962"/>
      <c r="K51" s="225"/>
      <c r="L51" s="948" t="s">
        <v>363</v>
      </c>
      <c r="M51" s="949"/>
      <c r="N51" s="949"/>
      <c r="O51" s="949"/>
      <c r="P51" s="949"/>
      <c r="Q51" s="949"/>
      <c r="R51" s="949"/>
      <c r="S51" s="949"/>
      <c r="T51" s="949"/>
      <c r="U51" s="950"/>
      <c r="V51" s="303"/>
      <c r="W51" s="130"/>
      <c r="X51" s="130"/>
      <c r="Y51" s="130"/>
      <c r="Z51" s="130"/>
      <c r="AA51"/>
      <c r="AB51"/>
      <c r="AK51" s="56"/>
      <c r="AL51" s="56"/>
      <c r="BO51" s="130"/>
      <c r="BP51" s="130"/>
      <c r="BQ51" s="130"/>
      <c r="BR51" s="130"/>
      <c r="BS51"/>
      <c r="BT51"/>
      <c r="CB51" s="56"/>
      <c r="CC51" s="56"/>
    </row>
    <row r="52" spans="1:114" ht="24" customHeight="1">
      <c r="A52" s="875" t="str">
        <f>"Nettoarbejdstid ialt i "&amp;A13&amp;" måned"</f>
        <v>Nettoarbejdstid ialt i Maj måned</v>
      </c>
      <c r="B52" s="876"/>
      <c r="C52" s="876"/>
      <c r="D52" s="876"/>
      <c r="E52" s="876"/>
      <c r="F52" s="876"/>
      <c r="G52" s="876"/>
      <c r="H52" s="148">
        <f>H49-H50-H51</f>
        <v>19</v>
      </c>
      <c r="I52" s="961">
        <f>IF(Stamoplysninger!$E$18="Ikke omfattet af overenskomst - ansat med en fast årsnorm",Stamoplysninger!$E$20/228*H52*Stamoplysninger!$E$21,I49-I50-I51)</f>
        <v>0</v>
      </c>
      <c r="J52" s="962"/>
      <c r="K52" s="225"/>
      <c r="L52" s="375" t="s">
        <v>362</v>
      </c>
      <c r="M52" s="376" t="s">
        <v>201</v>
      </c>
      <c r="N52" s="954" t="s">
        <v>277</v>
      </c>
      <c r="O52" s="949"/>
      <c r="P52" s="949"/>
      <c r="Q52" s="949"/>
      <c r="R52" s="949"/>
      <c r="S52" s="955"/>
      <c r="T52" s="921" t="s">
        <v>188</v>
      </c>
      <c r="U52" s="922"/>
      <c r="V52" s="303"/>
      <c r="W52" s="130"/>
      <c r="X52" s="130"/>
      <c r="Y52" s="130"/>
      <c r="Z52" s="130"/>
      <c r="AA52"/>
      <c r="AB52"/>
      <c r="AK52" s="56"/>
      <c r="AL52" s="56"/>
      <c r="BO52" s="130"/>
      <c r="BP52" s="130"/>
      <c r="BQ52" s="130"/>
      <c r="BR52" s="130"/>
      <c r="BS52"/>
      <c r="BT52"/>
      <c r="CB52" s="56"/>
      <c r="CC52" s="56"/>
    </row>
    <row r="53" spans="1:114" ht="24" customHeight="1">
      <c r="A53" s="881" t="str">
        <f>"Planlagt arbejdstid efter ovennstående "&amp;A13&amp;" måned kalender"</f>
        <v>Planlagt arbejdstid efter ovennstående Maj måned kalender</v>
      </c>
      <c r="B53" s="882"/>
      <c r="C53" s="882"/>
      <c r="D53" s="882"/>
      <c r="E53" s="882"/>
      <c r="F53" s="882"/>
      <c r="G53" s="882"/>
      <c r="H53" s="281">
        <f>D60+D61+D62+D63+D66+D67+D74+D68+D69+D70+D71+D72+D73+D75+D76+D64+D65</f>
        <v>19</v>
      </c>
      <c r="I53" s="940">
        <f>K46+L46+M46-J60</f>
        <v>0</v>
      </c>
      <c r="J53" s="941"/>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883" t="str">
        <f>"Arbejde særligt planlagt for "&amp;A13&amp;" måned efter fanen normale uger"</f>
        <v>Arbejde særligt planlagt for Maj måned efter fanen normale uger</v>
      </c>
      <c r="B54" s="884"/>
      <c r="C54" s="884"/>
      <c r="D54" s="884"/>
      <c r="E54" s="884"/>
      <c r="F54" s="884"/>
      <c r="G54" s="884"/>
      <c r="H54" s="885"/>
      <c r="I54" s="942">
        <f>IF(I53=0,0,'Normal uger'!U98)</f>
        <v>0</v>
      </c>
      <c r="J54" s="943"/>
      <c r="K54" s="226"/>
      <c r="L54" s="372"/>
      <c r="M54" s="304"/>
      <c r="N54" s="956"/>
      <c r="O54" s="957"/>
      <c r="P54" s="957"/>
      <c r="Q54" s="957"/>
      <c r="R54" s="957"/>
      <c r="S54" s="958"/>
      <c r="T54" s="304"/>
      <c r="U54" s="371"/>
      <c r="V54" s="303"/>
      <c r="W54" s="130"/>
      <c r="X54" s="130"/>
      <c r="Y54" s="130"/>
      <c r="Z54" s="130"/>
      <c r="AA54"/>
      <c r="AB54"/>
      <c r="AK54" s="56"/>
      <c r="AL54" s="56"/>
      <c r="BO54" s="130"/>
      <c r="BP54" s="130"/>
      <c r="BQ54" s="130"/>
      <c r="BR54" s="130"/>
      <c r="BS54"/>
      <c r="BT54"/>
      <c r="CB54" s="56"/>
      <c r="CC54" s="56"/>
    </row>
    <row r="55" spans="1:114" ht="24" customHeight="1">
      <c r="A55" s="413" t="s">
        <v>273</v>
      </c>
      <c r="B55" s="414"/>
      <c r="C55" s="414"/>
      <c r="D55" s="414"/>
      <c r="E55" s="414"/>
      <c r="F55" s="414"/>
      <c r="G55" s="414"/>
      <c r="H55" s="415"/>
      <c r="I55" s="959" t="e">
        <f>IF(Arbejdstidsoversigt!$H$54="Puljetimer registreres i månedskalendere",O46-L60,SUM(Arbejdstidsoversigt!J34:J52)/Arbejdstidsoversigt!$G$20*H52)</f>
        <v>#DIV/0!</v>
      </c>
      <c r="J55" s="960"/>
      <c r="K55" s="226"/>
      <c r="L55" s="372"/>
      <c r="M55" s="304"/>
      <c r="N55" s="956"/>
      <c r="O55" s="957"/>
      <c r="P55" s="957"/>
      <c r="Q55" s="957"/>
      <c r="R55" s="957"/>
      <c r="S55" s="958"/>
      <c r="T55" s="353"/>
      <c r="U55" s="371"/>
      <c r="V55" s="406"/>
      <c r="W55" s="406"/>
      <c r="X55" s="303"/>
      <c r="Y55" s="130"/>
      <c r="Z55" s="130"/>
      <c r="AA55" s="130"/>
      <c r="AB55" s="130"/>
      <c r="AM55" s="56"/>
      <c r="AN55" s="56"/>
      <c r="BQ55" s="130"/>
      <c r="BR55" s="130"/>
      <c r="BS55" s="130"/>
      <c r="BT55" s="130"/>
      <c r="CD55" s="56"/>
      <c r="CE55" s="56"/>
    </row>
    <row r="56" spans="1:114" ht="24" customHeight="1">
      <c r="A56" s="877" t="s">
        <v>248</v>
      </c>
      <c r="B56" s="878"/>
      <c r="C56" s="878"/>
      <c r="D56" s="878"/>
      <c r="E56" s="878"/>
      <c r="F56" s="878"/>
      <c r="G56" s="878"/>
      <c r="H56" s="878"/>
      <c r="I56" s="944">
        <f>S46+U46+T46-P60-Q60-R60</f>
        <v>0</v>
      </c>
      <c r="J56" s="945"/>
      <c r="K56" s="227"/>
      <c r="L56" s="372"/>
      <c r="M56" s="304"/>
      <c r="N56" s="956"/>
      <c r="O56" s="957"/>
      <c r="P56" s="957"/>
      <c r="Q56" s="957"/>
      <c r="R56" s="957"/>
      <c r="S56" s="958"/>
      <c r="T56" s="304"/>
      <c r="U56" s="371"/>
      <c r="V56" s="303"/>
      <c r="W56" s="137"/>
      <c r="X56" s="130"/>
      <c r="Z56" s="130"/>
      <c r="AA56" s="130"/>
      <c r="AB56"/>
      <c r="AM56" s="56"/>
      <c r="AN56" s="56"/>
      <c r="BO56" s="137"/>
      <c r="BP56" s="137"/>
      <c r="BR56" s="130"/>
      <c r="BS56"/>
      <c r="BT56"/>
      <c r="CD56" s="56"/>
      <c r="CE56" s="56"/>
    </row>
    <row r="57" spans="1:114" ht="24" customHeight="1" thickBot="1">
      <c r="A57" s="149" t="str">
        <f>"Faktisk arbejdstid ialt i "&amp;A13&amp;" måned"</f>
        <v>Faktisk arbejdstid ialt i Maj måned</v>
      </c>
      <c r="B57" s="188"/>
      <c r="C57" s="189"/>
      <c r="D57" s="189"/>
      <c r="E57" s="189"/>
      <c r="F57" s="189"/>
      <c r="G57" s="189"/>
      <c r="H57" s="190"/>
      <c r="I57" s="946" t="e">
        <f>SUM(I53:J56)</f>
        <v>#DIV/0!</v>
      </c>
      <c r="J57" s="947"/>
      <c r="K57" s="131"/>
      <c r="L57" s="951" t="s">
        <v>189</v>
      </c>
      <c r="M57" s="952"/>
      <c r="N57" s="952"/>
      <c r="O57" s="952"/>
      <c r="P57" s="952"/>
      <c r="Q57" s="952"/>
      <c r="R57" s="952"/>
      <c r="S57" s="953"/>
      <c r="T57" s="387">
        <f>T49+T50-SUM(T53:T56)</f>
        <v>0</v>
      </c>
      <c r="U57" s="394">
        <f>U49+U50-SUM(U53:U56)</f>
        <v>0</v>
      </c>
      <c r="V57" s="303"/>
      <c r="W57" s="137"/>
      <c r="X57" s="130"/>
      <c r="Z57" s="130"/>
      <c r="AA57" s="130"/>
      <c r="AB57"/>
      <c r="AL57" s="56"/>
      <c r="AM57" s="56"/>
      <c r="BG57" s="56"/>
      <c r="BH57" s="56"/>
      <c r="BO57" s="137"/>
      <c r="BP57" s="137"/>
      <c r="BR57" s="130"/>
      <c r="BS57"/>
      <c r="BT57"/>
      <c r="CC57" s="56"/>
      <c r="CD57" s="56"/>
    </row>
    <row r="58" spans="1:114" hidden="1">
      <c r="A58" s="144"/>
      <c r="B58" s="144"/>
      <c r="C58" s="144"/>
      <c r="D58" s="144"/>
      <c r="E58" s="144"/>
      <c r="F58" s="144"/>
      <c r="G58" s="144"/>
      <c r="H58" s="144"/>
      <c r="I58" s="302"/>
      <c r="J58" s="302"/>
      <c r="K58" s="302"/>
      <c r="L58" s="290"/>
      <c r="M58" s="252"/>
      <c r="N58" s="252"/>
      <c r="O58" s="252"/>
      <c r="P58" s="252"/>
      <c r="Q58" s="252"/>
      <c r="R58" s="205"/>
      <c r="S58" s="253"/>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6"/>
      <c r="B59" s="286"/>
      <c r="C59" s="286"/>
      <c r="D59" s="286"/>
      <c r="E59" s="286"/>
      <c r="F59" s="286"/>
      <c r="G59" s="286"/>
      <c r="H59" s="287"/>
      <c r="I59" s="288"/>
      <c r="K59" s="286"/>
      <c r="L59" s="289"/>
      <c r="M59" s="279"/>
      <c r="N59" s="252"/>
      <c r="O59" s="252"/>
      <c r="P59" s="279"/>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295" t="s">
        <v>217</v>
      </c>
      <c r="B60" s="295"/>
      <c r="C60" s="295"/>
      <c r="D60" s="295">
        <f>COUNTIF([0]!Majmåned,"Normal uge 1")</f>
        <v>19</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 si="33">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204</v>
      </c>
      <c r="B61" s="969"/>
      <c r="C61" s="969"/>
      <c r="D61" s="295">
        <f>COUNTIF([0]!Majmåned,"Normal uge 2")</f>
        <v>0</v>
      </c>
      <c r="E61" s="296"/>
      <c r="F61" s="295"/>
      <c r="G61" s="295" t="s">
        <v>489</v>
      </c>
      <c r="H61" s="852">
        <f>IF(AND(Stamoplysninger!$E$18="BUPL/FOA",Stamoplysninger!$E$19="Ja"),1924/Arbejdstidsoversigt!$K$13*Stamoplysninger!$E$21*$H$49,H49*7.4*Stamoplysninger!$E$21)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205</v>
      </c>
      <c r="B62" s="969"/>
      <c r="C62" s="969"/>
      <c r="D62" s="295">
        <f>COUNTIF([0]!Majmåned,"Normal uge 3")</f>
        <v>0</v>
      </c>
      <c r="E62" s="296"/>
      <c r="F62" s="295"/>
      <c r="G62" s="295" t="s">
        <v>212</v>
      </c>
      <c r="H62" s="852">
        <f>IF(AND(Stamoplysninger!$E$18="HK",Stamoplysninger!$E$19="Ja"),1924/Arbejdstidsoversigt!$K$13*Stamoplysninger!$E$21*$H$49,$H$49*7.4*Stamoplysninger!$E$21)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69" t="s">
        <v>206</v>
      </c>
      <c r="B63" s="969"/>
      <c r="C63" s="969"/>
      <c r="D63" s="295">
        <f>COUNTIF([0]!Majmåned,"Normal uge 4")</f>
        <v>0</v>
      </c>
      <c r="E63" s="296"/>
      <c r="F63" s="295"/>
      <c r="G63" s="295" t="s">
        <v>213</v>
      </c>
      <c r="H63" s="288">
        <f>IF(Stamoplysninger!$E$18="3F",7.4*Stamoplysninger!$E$21*$H$49,0)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0" t="s">
        <v>406</v>
      </c>
      <c r="B64" s="650"/>
      <c r="C64" s="650"/>
      <c r="D64" s="295">
        <f>COUNTIF([0]!Majmåned,"Normal uge 5")</f>
        <v>0</v>
      </c>
      <c r="E64" s="296"/>
      <c r="F64" s="295"/>
      <c r="G64" s="295" t="s">
        <v>498</v>
      </c>
      <c r="H64" s="288">
        <f>IF(Stamoplysninger!$E$18="Ikke omfattet af overenskomst - ansat med en variabel årsnorm",7.4*Stamoplysninger!$E$21*$H$49,0)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52" t="s">
        <v>407</v>
      </c>
      <c r="B65" s="652"/>
      <c r="C65" s="652"/>
      <c r="D65" s="295">
        <f>COUNTIF([0]!Majmåned,"Normal uge 6")</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295" t="s">
        <v>228</v>
      </c>
      <c r="B66" s="295"/>
      <c r="C66" s="295"/>
      <c r="D66" s="295">
        <f>COUNTIF([0]!Majmåned,"Anderledes dag")</f>
        <v>0</v>
      </c>
      <c r="E66" s="296"/>
      <c r="F66" s="295"/>
      <c r="G66" s="295"/>
      <c r="H66" s="288"/>
      <c r="I66" s="292"/>
      <c r="J66" s="289"/>
      <c r="K66" s="291"/>
      <c r="L66" s="292"/>
      <c r="M66" s="280"/>
      <c r="N66" s="280"/>
      <c r="O66" s="280"/>
      <c r="P66" s="280"/>
      <c r="AA66"/>
      <c r="AB66"/>
      <c r="AW66" s="1"/>
      <c r="BG66" s="1"/>
      <c r="BR66" s="63"/>
      <c r="BS66"/>
      <c r="BT66"/>
      <c r="CN66" s="1"/>
      <c r="CX66" s="1"/>
      <c r="DG66" s="138"/>
    </row>
    <row r="67" spans="1:114" hidden="1">
      <c r="A67" s="297" t="s">
        <v>370</v>
      </c>
      <c r="B67" s="295"/>
      <c r="C67" s="295"/>
      <c r="D67" s="295">
        <f>COUNTIF([0]!Majmåned,"Ferieåbning")</f>
        <v>0</v>
      </c>
      <c r="E67" s="296"/>
      <c r="F67" s="295"/>
      <c r="G67" s="295"/>
      <c r="H67" s="288"/>
      <c r="I67" s="292"/>
      <c r="J67" s="292"/>
      <c r="K67" s="292"/>
      <c r="L67" s="292"/>
      <c r="M67" s="280"/>
      <c r="N67" s="280"/>
      <c r="O67" s="280"/>
      <c r="P67" s="280"/>
      <c r="AA67"/>
      <c r="AB67"/>
      <c r="AW67" s="1"/>
      <c r="BG67" s="1"/>
      <c r="BR67" s="63"/>
      <c r="BS67"/>
      <c r="BT67"/>
      <c r="CN67" s="1"/>
      <c r="CX67" s="1"/>
      <c r="DG67" s="138"/>
    </row>
    <row r="68" spans="1:114" hidden="1">
      <c r="A68" s="297" t="s">
        <v>218</v>
      </c>
      <c r="B68" s="295"/>
      <c r="C68" s="295"/>
      <c r="D68" s="295">
        <f>COUNTIF([0]!Majmåned,"Rul 1")</f>
        <v>0</v>
      </c>
      <c r="E68" s="296"/>
      <c r="F68" s="295"/>
      <c r="G68" s="295"/>
      <c r="H68" s="288"/>
      <c r="I68" s="292"/>
      <c r="J68" s="292"/>
      <c r="K68" s="292"/>
      <c r="L68" s="292"/>
      <c r="M68" s="252"/>
      <c r="N68" s="280"/>
      <c r="O68" s="280"/>
      <c r="P68" s="252"/>
      <c r="AA68"/>
      <c r="AB68"/>
      <c r="AW68" s="1"/>
      <c r="BG68" s="1"/>
      <c r="BR68" s="63"/>
      <c r="BS68"/>
      <c r="BT68"/>
      <c r="CN68" s="1"/>
      <c r="CX68" s="1"/>
      <c r="DG68" s="138"/>
    </row>
    <row r="69" spans="1:114" hidden="1">
      <c r="A69" s="297" t="s">
        <v>219</v>
      </c>
      <c r="B69" s="295"/>
      <c r="C69" s="295"/>
      <c r="D69" s="295">
        <f>COUNTIF([0]!Majmåned,"Rul 2")</f>
        <v>0</v>
      </c>
      <c r="E69" s="296"/>
      <c r="F69" s="295"/>
      <c r="G69" s="295"/>
      <c r="H69" s="288"/>
      <c r="I69" s="292"/>
      <c r="J69" s="292"/>
      <c r="K69" s="292"/>
      <c r="L69" s="292"/>
      <c r="N69" s="252"/>
      <c r="O69" s="252"/>
      <c r="AA69"/>
      <c r="AB69"/>
      <c r="AW69" s="1"/>
      <c r="BG69" s="1"/>
      <c r="BR69" s="63"/>
      <c r="BS69"/>
      <c r="BT69"/>
      <c r="CN69" s="1"/>
      <c r="CX69" s="1"/>
      <c r="DG69" s="138"/>
    </row>
    <row r="70" spans="1:114" hidden="1">
      <c r="A70" s="297" t="s">
        <v>220</v>
      </c>
      <c r="B70" s="295"/>
      <c r="C70" s="295"/>
      <c r="D70" s="295">
        <f>COUNTIF([0]!Majmåned,"Rul 3")</f>
        <v>0</v>
      </c>
      <c r="E70" s="296"/>
      <c r="F70" s="295"/>
      <c r="G70" s="295"/>
      <c r="H70" s="288"/>
      <c r="I70" s="292"/>
      <c r="J70" s="292"/>
      <c r="K70" s="292"/>
      <c r="L70" s="292"/>
      <c r="P70" s="288"/>
      <c r="AA70"/>
      <c r="AB70"/>
      <c r="AW70" s="1"/>
      <c r="BG70" s="1"/>
      <c r="BR70" s="63"/>
      <c r="BS70"/>
      <c r="BT70"/>
      <c r="CN70" s="1"/>
      <c r="CX70" s="1"/>
      <c r="DG70" s="138"/>
    </row>
    <row r="71" spans="1:114" hidden="1">
      <c r="A71" s="297" t="s">
        <v>221</v>
      </c>
      <c r="B71" s="295"/>
      <c r="C71" s="295"/>
      <c r="D71" s="295">
        <f>COUNTIF([0]!Majmåned,"Rul 4")</f>
        <v>0</v>
      </c>
      <c r="E71" s="296"/>
      <c r="F71" s="295"/>
      <c r="G71" s="295"/>
      <c r="H71" s="288"/>
      <c r="I71" s="292"/>
      <c r="J71" s="292"/>
      <c r="K71" s="292"/>
      <c r="L71" s="292"/>
      <c r="AA71"/>
      <c r="AB71"/>
      <c r="AW71" s="1"/>
      <c r="BG71" s="1"/>
      <c r="BS71"/>
      <c r="BT71"/>
      <c r="CN71" s="1"/>
      <c r="CX71" s="1"/>
      <c r="DG71" s="138"/>
    </row>
    <row r="72" spans="1:114" hidden="1">
      <c r="A72" s="297" t="s">
        <v>222</v>
      </c>
      <c r="B72" s="295"/>
      <c r="C72" s="295"/>
      <c r="D72" s="295">
        <f>COUNTIF([0]!Majmåned,"Rul 5")</f>
        <v>0</v>
      </c>
      <c r="E72" s="296"/>
      <c r="F72" s="295"/>
      <c r="G72" s="295"/>
      <c r="H72" s="288"/>
      <c r="I72" s="292"/>
      <c r="J72" s="292"/>
      <c r="K72" s="292"/>
      <c r="L72" s="292"/>
      <c r="AA72"/>
      <c r="AB72"/>
      <c r="AW72" s="1"/>
      <c r="BG72" s="1"/>
      <c r="BS72"/>
      <c r="BT72"/>
      <c r="CN72" s="1"/>
      <c r="CX72" s="1"/>
      <c r="DG72" s="138"/>
    </row>
    <row r="73" spans="1:114" hidden="1">
      <c r="A73" s="297" t="s">
        <v>223</v>
      </c>
      <c r="B73" s="295"/>
      <c r="C73" s="295"/>
      <c r="D73" s="295">
        <f>COUNTIF([0]!Majmåned,"Rul 6")</f>
        <v>0</v>
      </c>
      <c r="E73" s="296"/>
      <c r="F73" s="298"/>
      <c r="G73" s="298"/>
      <c r="H73" s="294"/>
      <c r="I73" s="292"/>
      <c r="J73" s="292"/>
      <c r="K73" s="292"/>
      <c r="L73" s="292"/>
      <c r="AA73"/>
      <c r="AB73"/>
      <c r="AW73" s="1"/>
      <c r="BG73" s="1"/>
      <c r="BS73"/>
      <c r="BT73"/>
      <c r="CN73" s="1"/>
      <c r="CX73" s="1"/>
      <c r="DG73" s="138"/>
    </row>
    <row r="74" spans="1:114" hidden="1">
      <c r="A74" s="295" t="s">
        <v>83</v>
      </c>
      <c r="B74" s="295"/>
      <c r="C74" s="295"/>
      <c r="D74" s="295">
        <f>COUNTIF([0]!Majmåned,"Pæd.dag")</f>
        <v>0</v>
      </c>
      <c r="E74" s="296"/>
      <c r="F74" s="295"/>
      <c r="G74" s="295"/>
      <c r="H74" s="288"/>
      <c r="I74" s="292"/>
      <c r="J74" s="292"/>
      <c r="K74" s="292"/>
      <c r="L74" s="291"/>
      <c r="AA74"/>
      <c r="AB74"/>
      <c r="AW74" s="1"/>
      <c r="BG74" s="1"/>
      <c r="BS74"/>
      <c r="BT74"/>
      <c r="CN74" s="1"/>
      <c r="CX74" s="1"/>
      <c r="DG74" s="138"/>
    </row>
    <row r="75" spans="1:114" hidden="1">
      <c r="A75" s="295" t="s">
        <v>227</v>
      </c>
      <c r="B75" s="295"/>
      <c r="C75" s="295"/>
      <c r="D75" s="295">
        <f>COUNTIF([0]!Majmåned,"Koloni")</f>
        <v>0</v>
      </c>
      <c r="E75" s="296"/>
      <c r="F75" s="295"/>
      <c r="G75" s="295"/>
      <c r="H75" s="288"/>
      <c r="I75" s="292"/>
      <c r="J75" s="292"/>
      <c r="K75" s="292"/>
      <c r="L75" s="291"/>
      <c r="AA75"/>
      <c r="AB75"/>
      <c r="AW75" s="1"/>
      <c r="BG75" s="1"/>
      <c r="BS75"/>
      <c r="BT75"/>
      <c r="CN75" s="1"/>
      <c r="CX75" s="1"/>
      <c r="DG75" s="138"/>
    </row>
    <row r="76" spans="1:114" hidden="1">
      <c r="A76" s="295" t="s">
        <v>82</v>
      </c>
      <c r="B76" s="295"/>
      <c r="C76" s="295"/>
      <c r="D76" s="295">
        <f>COUNTIF([0]!Majmåned,"Ekskursion")</f>
        <v>0</v>
      </c>
      <c r="E76" s="296"/>
      <c r="F76" s="295"/>
      <c r="G76" s="295"/>
      <c r="H76" s="288"/>
      <c r="I76" s="292"/>
      <c r="J76" s="292"/>
      <c r="K76" s="292"/>
      <c r="L76" s="291"/>
      <c r="AA76"/>
      <c r="AB76"/>
      <c r="AW76" s="1"/>
      <c r="BG76" s="1"/>
      <c r="BS76"/>
      <c r="BT76"/>
      <c r="CN76" s="1"/>
      <c r="CX76" s="1"/>
      <c r="DG76" s="138"/>
    </row>
    <row r="77" spans="1:114" hidden="1">
      <c r="A77" s="295" t="s">
        <v>109</v>
      </c>
      <c r="B77" s="295"/>
      <c r="C77" s="295"/>
      <c r="D77" s="295">
        <f>COUNTIF([0]!Majmåned,"Feriedag")</f>
        <v>0</v>
      </c>
      <c r="E77" s="295"/>
      <c r="F77" s="295"/>
      <c r="G77" s="295"/>
      <c r="H77" s="288"/>
      <c r="I77" s="292"/>
      <c r="J77" s="292"/>
      <c r="K77" s="292"/>
      <c r="L77" s="291"/>
      <c r="AA77"/>
      <c r="AB77"/>
      <c r="AW77" s="1"/>
      <c r="BG77" s="1"/>
      <c r="BS77"/>
      <c r="BT77"/>
      <c r="CN77" s="1"/>
      <c r="CX77" s="1"/>
      <c r="DG77" s="138"/>
    </row>
    <row r="78" spans="1:114" hidden="1">
      <c r="A78" s="295" t="s">
        <v>78</v>
      </c>
      <c r="B78" s="295"/>
      <c r="C78" s="295"/>
      <c r="D78" s="295">
        <f>COUNTIF([0]!Majmåned,"Nul-dag")</f>
        <v>0</v>
      </c>
      <c r="E78" s="299"/>
      <c r="F78" s="295"/>
      <c r="G78" s="295"/>
      <c r="H78" s="288"/>
      <c r="I78" s="292"/>
      <c r="J78" s="292"/>
      <c r="K78" s="292"/>
      <c r="L78" s="291"/>
      <c r="AA78"/>
      <c r="AB78"/>
      <c r="AW78" s="1"/>
      <c r="BG78" s="1"/>
      <c r="BS78"/>
      <c r="BT78"/>
      <c r="CN78" s="1"/>
      <c r="CX78" s="1"/>
      <c r="DG78" s="138"/>
    </row>
    <row r="79" spans="1:114" hidden="1">
      <c r="A79" s="295" t="s">
        <v>176</v>
      </c>
      <c r="B79" s="295"/>
      <c r="C79" s="295"/>
      <c r="D79" s="295">
        <f>COUNTIF([0]!Majmåned,"Orlov")</f>
        <v>0</v>
      </c>
      <c r="E79" s="295"/>
      <c r="F79" s="295"/>
      <c r="G79" s="295"/>
      <c r="H79" s="288"/>
      <c r="I79" s="288"/>
      <c r="J79" s="292"/>
      <c r="K79" s="292"/>
      <c r="L79" s="291"/>
      <c r="AA79"/>
      <c r="AB79"/>
      <c r="AW79" s="1"/>
      <c r="BG79" s="1"/>
      <c r="BS79"/>
      <c r="BT79"/>
      <c r="CN79" s="1"/>
      <c r="CX79" s="1"/>
      <c r="DG79" s="138"/>
    </row>
    <row r="80" spans="1:114" hidden="1">
      <c r="A80" s="295" t="s">
        <v>98</v>
      </c>
      <c r="B80" s="295"/>
      <c r="C80" s="295"/>
      <c r="D80" s="295">
        <f>COUNTIF([0]!Majmåned,"Ikke relevant")</f>
        <v>0</v>
      </c>
      <c r="E80" s="295"/>
      <c r="F80" s="295"/>
      <c r="G80" s="295"/>
      <c r="H80" s="288"/>
      <c r="I80" s="288"/>
      <c r="J80" s="291"/>
      <c r="K80" s="291"/>
      <c r="L80" s="291"/>
      <c r="AA80"/>
      <c r="AB80"/>
      <c r="AW80" s="1"/>
      <c r="BG80" s="1"/>
      <c r="BS80"/>
      <c r="BT80"/>
      <c r="CN80" s="1"/>
      <c r="CX80" s="1"/>
      <c r="DG80" s="138"/>
    </row>
    <row r="81" spans="1:114" hidden="1">
      <c r="A81" s="295" t="s">
        <v>77</v>
      </c>
      <c r="B81" s="295"/>
      <c r="C81" s="295"/>
      <c r="D81" s="295">
        <f>COUNTIF([0]!Majmåned,"Weekend")</f>
        <v>10</v>
      </c>
      <c r="E81" s="295"/>
      <c r="F81" s="295"/>
      <c r="G81" s="295"/>
      <c r="H81" s="288"/>
      <c r="I81" s="288"/>
      <c r="J81" s="291"/>
      <c r="K81" s="291"/>
      <c r="L81" s="291"/>
      <c r="AA81"/>
      <c r="AB81"/>
      <c r="AW81" s="1"/>
      <c r="BG81" s="1">
        <f>SUM(Z87:BF87)</f>
        <v>0</v>
      </c>
      <c r="BS81"/>
      <c r="BT81"/>
      <c r="CN81" s="1"/>
      <c r="CX81" s="1"/>
      <c r="DG81" s="138"/>
    </row>
    <row r="82" spans="1:114" hidden="1">
      <c r="A82" s="293" t="s">
        <v>76</v>
      </c>
      <c r="B82" s="295"/>
      <c r="C82" s="295"/>
      <c r="D82" s="295">
        <f>COUNTIF([0]!Majmåned,"SH-dag")</f>
        <v>2</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73</v>
      </c>
      <c r="B83" s="295"/>
      <c r="C83" s="295"/>
      <c r="D83" s="295">
        <f>SUM(D60:D82)</f>
        <v>31</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t="s">
        <v>122</v>
      </c>
      <c r="B84" s="295"/>
      <c r="C84" s="295"/>
      <c r="D84" s="295">
        <f>D83-D77-A93-D81-D82</f>
        <v>19</v>
      </c>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291"/>
      <c r="AA85"/>
      <c r="AB85"/>
      <c r="AW85" s="1">
        <f>SUM(P85:AV85)</f>
        <v>0</v>
      </c>
      <c r="BS85"/>
      <c r="BT85"/>
      <c r="CN85" s="1">
        <f>SUM(AV85:CM85)</f>
        <v>0</v>
      </c>
      <c r="CX85" s="1">
        <f>SUM(BQ90:CW90)</f>
        <v>0</v>
      </c>
      <c r="DG85" s="138"/>
    </row>
    <row r="86" spans="1:114" hidden="1">
      <c r="A86" s="295"/>
      <c r="B86" s="295"/>
      <c r="C86" s="295"/>
      <c r="D86" s="295"/>
      <c r="E86" s="295"/>
      <c r="F86" s="295"/>
      <c r="G86" s="295"/>
      <c r="H86" s="288"/>
      <c r="I86" s="288"/>
      <c r="J86" s="291"/>
      <c r="K86" s="291"/>
      <c r="L86" s="33"/>
      <c r="AA86"/>
      <c r="AB86"/>
      <c r="BS86"/>
      <c r="BT86"/>
      <c r="DG86" s="138"/>
    </row>
    <row r="87" spans="1:114" hidden="1">
      <c r="A87" s="295" t="s">
        <v>138</v>
      </c>
      <c r="B87" s="295"/>
      <c r="C87" s="295"/>
      <c r="D87" s="295"/>
      <c r="E87" s="295"/>
      <c r="F87" s="295"/>
      <c r="G87" s="295"/>
      <c r="H87" s="291"/>
      <c r="I87" s="288"/>
      <c r="J87" s="291"/>
      <c r="K87" s="291"/>
      <c r="L87" s="33"/>
      <c r="AA87"/>
      <c r="AB87"/>
      <c r="BS87"/>
      <c r="BT87"/>
      <c r="DG87" s="138"/>
    </row>
    <row r="88" spans="1:114" hidden="1">
      <c r="A88" s="295">
        <f>COUNTIF(C16:C17,"Normal uge 1")+COUNTIF(C16:C17,"Normal uge 2")+COUNTIF(C16:C17,"Normal uge 3")+COUNTIF(C16:C17,"Normal uge 4")+COUNTIF(C16:C17,"Anderledes dag")+COUNTIF(C16:C17,"Feriepasningsdag")+COUNTIF(C16:C17,"Koloni")+COUNTIF(C16:C17,"Ekskursion")+COUNTIF(C16:C17,"Pæd.dag")</f>
        <v>0</v>
      </c>
      <c r="B88" s="295"/>
      <c r="C88" s="295"/>
      <c r="D88" s="295"/>
      <c r="E88" s="295"/>
      <c r="F88" s="295"/>
      <c r="G88" s="295"/>
      <c r="H88" s="291"/>
      <c r="I88" s="291"/>
      <c r="J88" s="291"/>
      <c r="K88" s="291"/>
      <c r="L88" s="33"/>
      <c r="AA88"/>
      <c r="AB88"/>
      <c r="BS88"/>
      <c r="BT88"/>
      <c r="DG88" s="138"/>
    </row>
    <row r="89" spans="1:114" hidden="1">
      <c r="A89" s="295">
        <f>COUNTIF(C23:C24,"Normal uge 1")+COUNTIF(C23:C24,"Normal uge 2")+COUNTIF(C23:C24,"Normal uge 3")+COUNTIF(C23:C24,"Normal uge 4")+COUNTIF(C23:C24,"Anderledes dag")+COUNTIF(C23:C24,"Feriepasningsdag")+COUNTIF(C23:C24,"Pæd.dag")+COUNTIF(C23:C24,"Ekskursion")+COUNTIF(C23:C24,"Koloni")</f>
        <v>0</v>
      </c>
      <c r="B89" s="295"/>
      <c r="C89" s="295"/>
      <c r="D89" s="295"/>
      <c r="E89" s="295"/>
      <c r="F89" s="295"/>
      <c r="G89" s="295"/>
      <c r="H89" s="291"/>
      <c r="I89" s="33"/>
      <c r="J89" s="291"/>
      <c r="K89" s="291"/>
      <c r="L89" s="33"/>
      <c r="AA89"/>
      <c r="AB89"/>
      <c r="BS89"/>
      <c r="BT89"/>
      <c r="DG89" s="138"/>
    </row>
    <row r="90" spans="1:114" hidden="1">
      <c r="A90" s="295">
        <f>COUNTIF(C30:C31,"Normal uge 1")+COUNTIF(C30:C31,"Normal uge 2")+COUNTIF(C30:C31,"Normal uge 3")+COUNTIF(C30:C31,"Normal uge 4")+COUNTIF(C30:C31,"Anderledes dag")+COUNTIF(C30:C31,"Feriepasningsdag")+COUNTIF(C30:C31,"Koloni")+COUNTIF(C30:C31,"Ekskursion")+COUNTIF(C30:C31,"Pæd.dag")</f>
        <v>0</v>
      </c>
      <c r="B90" s="295"/>
      <c r="C90" s="295"/>
      <c r="D90" s="295"/>
      <c r="E90" s="288"/>
      <c r="F90" s="288"/>
      <c r="G90" s="288"/>
      <c r="H90" s="291"/>
      <c r="I90" s="33"/>
      <c r="J90" s="33"/>
      <c r="K90" s="33"/>
      <c r="L90" s="33"/>
      <c r="AA90"/>
      <c r="AB90"/>
      <c r="BS90"/>
      <c r="BT90"/>
      <c r="DG90" s="138"/>
    </row>
    <row r="91" spans="1:114" hidden="1">
      <c r="A91" s="295">
        <f>COUNTIF(C37:C38,"Normal uge 1")+COUNTIF(C37:C38,"Normal uge 2")+COUNTIF(C37:C38,"Normal uge 3")+COUNTIF(C37:C38,"Normal uge 4")+COUNTIF(C37:C38,"Anderledes dag")+COUNTIF(C37:C38,"Feriepasningsdag")+COUNTIF(C37:C38,"Koloni")+COUNTIF(C37:C38,"Ekskursion")+COUNTIF(C37:C38,"Pæd.dag")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f>COUNTIF(C44:C45,"Normal uge 1")+COUNTIF(C44:C45,"Normal uge 2")+COUNTIF(C44:C45,"Normal uge 3")+COUNTIF(C44:C45,"Normal uge 4")+COUNTIF(C44:C45,"Anderledes dag")+COUNTIF(C44:C45,"Feriepasningsdag")+COUNTIF(C44:C45,"Koloni")+COUNTIF(C44:C45,"Ekskursion")+COUNTIF(C44:C45,"Pæd.dag")</f>
        <v>0</v>
      </c>
      <c r="B92" s="295"/>
      <c r="C92" s="295"/>
      <c r="D92" s="295"/>
      <c r="E92" s="288"/>
      <c r="F92" s="288"/>
      <c r="G92" s="288"/>
      <c r="H92" s="291"/>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5">
        <f>SUM(A88:A92)</f>
        <v>0</v>
      </c>
      <c r="B93" s="295"/>
      <c r="C93" s="295"/>
      <c r="D93" s="295"/>
      <c r="E93" s="68"/>
      <c r="F93" s="68"/>
      <c r="G93" s="68"/>
      <c r="H93" s="33"/>
      <c r="I93" s="33"/>
      <c r="J93" s="33"/>
      <c r="K93" s="33"/>
      <c r="L93" s="33"/>
    </row>
    <row r="94" spans="1:114" hidden="1">
      <c r="A94" s="300"/>
      <c r="B94" s="300"/>
      <c r="C94" s="300"/>
      <c r="D94" s="300"/>
      <c r="E94" s="68"/>
      <c r="F94" s="68"/>
      <c r="G94" s="68"/>
      <c r="H94" s="33"/>
      <c r="I94" s="33"/>
      <c r="J94" s="33"/>
      <c r="K94" s="33"/>
      <c r="L94" s="33"/>
    </row>
    <row r="95" spans="1:114" hidden="1">
      <c r="A95" s="33"/>
      <c r="B95" s="33"/>
      <c r="C95" s="33"/>
      <c r="D95" s="33"/>
      <c r="E95" s="260"/>
      <c r="F95" s="260"/>
      <c r="G95" s="260"/>
      <c r="H95" s="260"/>
      <c r="I95" s="260"/>
      <c r="J95" s="260"/>
      <c r="K95" s="260"/>
      <c r="L95" s="260"/>
    </row>
    <row r="96" spans="1:114" hidden="1">
      <c r="A96" s="33"/>
      <c r="B96" s="33"/>
      <c r="C96" s="33"/>
      <c r="D96" s="33"/>
      <c r="E96" s="260"/>
      <c r="F96" s="260"/>
      <c r="G96" s="260"/>
      <c r="H96" s="260"/>
      <c r="I96" s="260"/>
      <c r="J96" s="260"/>
      <c r="K96" s="260"/>
      <c r="L96" s="260"/>
    </row>
    <row r="97" spans="1:12" hidden="1">
      <c r="A97" s="260"/>
      <c r="B97" s="260"/>
      <c r="C97" s="260"/>
      <c r="D97" s="260"/>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hidden="1">
      <c r="A102" s="260"/>
      <c r="B102" s="260"/>
      <c r="C102" s="260"/>
      <c r="D102" s="260"/>
      <c r="E102" s="260"/>
      <c r="F102" s="260"/>
      <c r="G102" s="260"/>
      <c r="H102" s="260"/>
      <c r="I102" s="260"/>
      <c r="J102" s="260"/>
      <c r="K102" s="260"/>
      <c r="L102" s="260"/>
    </row>
    <row r="103" spans="1:12" hidden="1">
      <c r="A103" s="260"/>
      <c r="B103" s="260"/>
      <c r="C103" s="260"/>
      <c r="D103" s="260"/>
      <c r="E103" s="260"/>
      <c r="F103" s="260"/>
      <c r="G103" s="260"/>
      <c r="H103" s="260"/>
      <c r="I103" s="260"/>
      <c r="J103" s="260"/>
      <c r="K103" s="260"/>
      <c r="L103" s="260"/>
    </row>
    <row r="104" spans="1:12" hidden="1">
      <c r="A104" s="260"/>
      <c r="B104" s="260"/>
      <c r="C104" s="260"/>
      <c r="D104" s="260"/>
      <c r="E104" s="260"/>
      <c r="F104" s="260"/>
      <c r="G104" s="260"/>
      <c r="H104" s="260"/>
      <c r="I104" s="260"/>
      <c r="J104" s="260"/>
      <c r="K104" s="260"/>
      <c r="L104" s="260"/>
    </row>
    <row r="105" spans="1:12" hidden="1">
      <c r="A105" s="260"/>
      <c r="B105" s="260"/>
      <c r="C105" s="260"/>
      <c r="D105" s="260"/>
      <c r="E105" s="260"/>
      <c r="F105" s="260"/>
      <c r="G105" s="260"/>
      <c r="H105" s="260"/>
      <c r="I105" s="260"/>
      <c r="J105" s="260"/>
      <c r="K105" s="260"/>
      <c r="L105" s="260"/>
    </row>
    <row r="106" spans="1:12" hidden="1">
      <c r="A106" s="260"/>
      <c r="B106" s="260"/>
      <c r="C106" s="260"/>
      <c r="D106" s="260"/>
      <c r="E106" s="260"/>
      <c r="F106" s="260"/>
      <c r="G106" s="260"/>
      <c r="H106" s="260"/>
      <c r="I106" s="260"/>
      <c r="J106" s="260"/>
      <c r="K106" s="260"/>
      <c r="L106" s="260"/>
    </row>
    <row r="107" spans="1:12" hidden="1">
      <c r="A107" s="260"/>
      <c r="B107" s="260"/>
      <c r="C107" s="260"/>
      <c r="D107" s="260"/>
      <c r="E107" s="260"/>
      <c r="F107" s="260"/>
      <c r="G107" s="260"/>
      <c r="H107" s="260"/>
      <c r="I107" s="260"/>
      <c r="J107" s="260"/>
      <c r="K107" s="260"/>
      <c r="L107" s="260"/>
    </row>
    <row r="108" spans="1:12" hidden="1">
      <c r="A108" s="260"/>
      <c r="B108" s="260"/>
      <c r="C108" s="260"/>
      <c r="D108" s="260"/>
      <c r="E108" s="260"/>
      <c r="F108" s="260"/>
      <c r="G108" s="260"/>
      <c r="H108" s="260"/>
      <c r="I108" s="260"/>
      <c r="J108" s="260"/>
      <c r="K108" s="260"/>
      <c r="L108" s="260"/>
    </row>
    <row r="109" spans="1:12" hidden="1">
      <c r="A109" s="260"/>
      <c r="B109" s="260"/>
      <c r="C109" s="260"/>
      <c r="D109" s="260"/>
      <c r="E109" s="260"/>
      <c r="F109" s="260"/>
      <c r="G109" s="260"/>
      <c r="H109" s="260"/>
      <c r="I109" s="260"/>
      <c r="J109" s="260"/>
      <c r="K109" s="260"/>
      <c r="L109" s="260"/>
    </row>
    <row r="110" spans="1:12" hidden="1">
      <c r="A110" s="260"/>
      <c r="B110" s="260"/>
      <c r="C110" s="260"/>
      <c r="D110" s="260"/>
      <c r="E110" s="260"/>
      <c r="F110" s="260"/>
      <c r="G110" s="260"/>
      <c r="H110" s="260"/>
      <c r="I110" s="260"/>
      <c r="J110" s="260"/>
      <c r="K110" s="260"/>
      <c r="L110" s="260"/>
    </row>
    <row r="111" spans="1:12" hidden="1">
      <c r="A111" s="260"/>
      <c r="B111" s="260"/>
      <c r="C111" s="260"/>
      <c r="D111" s="260"/>
      <c r="E111" s="260"/>
      <c r="F111" s="260"/>
      <c r="G111" s="260"/>
      <c r="H111" s="260"/>
      <c r="I111" s="260"/>
      <c r="J111" s="260"/>
      <c r="K111" s="260"/>
      <c r="L111" s="260"/>
    </row>
    <row r="112" spans="1:12" hidden="1">
      <c r="A112" s="260"/>
      <c r="B112" s="260"/>
      <c r="C112" s="260"/>
      <c r="D112" s="260"/>
      <c r="E112" s="260"/>
      <c r="F112" s="260"/>
      <c r="G112" s="260"/>
      <c r="H112" s="260"/>
      <c r="I112" s="260"/>
      <c r="J112" s="260"/>
      <c r="K112" s="260"/>
      <c r="L112" s="260"/>
    </row>
    <row r="113" spans="1:12" hidden="1">
      <c r="A113" s="260"/>
      <c r="B113" s="260"/>
      <c r="C113" s="260"/>
      <c r="D113" s="260"/>
      <c r="E113" s="260"/>
      <c r="F113" s="260"/>
      <c r="G113" s="260"/>
      <c r="H113" s="260"/>
      <c r="I113" s="260"/>
      <c r="J113" s="260"/>
      <c r="K113" s="260"/>
      <c r="L113" s="260"/>
    </row>
    <row r="114" spans="1:12" hidden="1">
      <c r="A114" s="260"/>
      <c r="B114" s="260"/>
      <c r="C114" s="260"/>
      <c r="D114" s="260"/>
      <c r="E114" s="260"/>
      <c r="F114" s="260"/>
      <c r="G114" s="260"/>
      <c r="H114" s="260"/>
      <c r="I114" s="260"/>
      <c r="J114" s="260"/>
      <c r="K114" s="260"/>
      <c r="L114" s="260"/>
    </row>
    <row r="115" spans="1:12" hidden="1">
      <c r="A115" s="260"/>
      <c r="B115" s="260"/>
      <c r="C115" s="260"/>
      <c r="D115" s="260"/>
      <c r="E115" s="260"/>
      <c r="F115" s="260"/>
      <c r="G115" s="260"/>
      <c r="H115" s="260"/>
      <c r="I115" s="260"/>
      <c r="J115" s="260"/>
      <c r="K115" s="260"/>
      <c r="L115" s="260"/>
    </row>
    <row r="116" spans="1:12" hidden="1">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c r="L118" s="260"/>
    </row>
    <row r="119" spans="1:12">
      <c r="A119" s="260"/>
      <c r="B119" s="260"/>
      <c r="C119" s="260"/>
      <c r="D119" s="260"/>
      <c r="E119" s="260"/>
      <c r="F119" s="260"/>
      <c r="G119" s="260"/>
      <c r="H119" s="260"/>
      <c r="I119" s="260"/>
      <c r="J119" s="260"/>
      <c r="K119" s="260"/>
      <c r="L119" s="260"/>
    </row>
    <row r="120" spans="1:12">
      <c r="A120" s="260"/>
      <c r="B120" s="260"/>
      <c r="C120" s="260"/>
      <c r="D120" s="260"/>
      <c r="E120" s="260"/>
      <c r="F120" s="260"/>
      <c r="G120" s="260"/>
      <c r="H120" s="260"/>
      <c r="I120" s="260"/>
      <c r="J120" s="260"/>
      <c r="K120" s="260"/>
    </row>
    <row r="121" spans="1:12">
      <c r="A121" s="260"/>
      <c r="B121" s="260"/>
      <c r="C121" s="260"/>
      <c r="D121" s="260"/>
      <c r="E121" s="260"/>
      <c r="F121" s="260"/>
      <c r="G121" s="260"/>
      <c r="H121" s="260"/>
      <c r="I121" s="260"/>
      <c r="J121" s="260"/>
      <c r="K121" s="260"/>
    </row>
    <row r="122" spans="1:12">
      <c r="A122" s="260"/>
      <c r="B122" s="260"/>
      <c r="C122" s="260"/>
      <c r="D122" s="260"/>
      <c r="I122" s="260"/>
      <c r="J122" s="260"/>
      <c r="K122" s="260"/>
    </row>
    <row r="123" spans="1:12">
      <c r="A123" s="260"/>
      <c r="B123" s="260"/>
      <c r="C123" s="260"/>
      <c r="D123" s="260"/>
      <c r="J123" s="260"/>
      <c r="K123" s="260"/>
    </row>
    <row r="124" spans="1:12">
      <c r="A124" s="260"/>
      <c r="B124" s="260"/>
      <c r="C124" s="260"/>
      <c r="D124" s="260"/>
    </row>
    <row r="125" spans="1:12">
      <c r="A125" s="260"/>
      <c r="B125" s="260"/>
      <c r="C125" s="260"/>
      <c r="D125" s="260"/>
    </row>
    <row r="126" spans="1:12">
      <c r="A126" s="260"/>
      <c r="B126" s="260"/>
      <c r="C126" s="260"/>
      <c r="D126" s="260"/>
    </row>
    <row r="127" spans="1:12">
      <c r="A127" s="260"/>
      <c r="B127" s="260"/>
      <c r="C127" s="260"/>
      <c r="D127" s="260"/>
    </row>
  </sheetData>
  <sheetProtection sheet="1" objects="1" scenarios="1"/>
  <mergeCells count="117">
    <mergeCell ref="A61:C61"/>
    <mergeCell ref="A62:C62"/>
    <mergeCell ref="A63:C63"/>
    <mergeCell ref="T52:U52"/>
    <mergeCell ref="I55:J55"/>
    <mergeCell ref="N53:S53"/>
    <mergeCell ref="N54:S54"/>
    <mergeCell ref="I57:J57"/>
    <mergeCell ref="L57:S57"/>
    <mergeCell ref="A54:H54"/>
    <mergeCell ref="I54:J54"/>
    <mergeCell ref="A56:H56"/>
    <mergeCell ref="I56:J56"/>
    <mergeCell ref="N55:S55"/>
    <mergeCell ref="N56:S56"/>
    <mergeCell ref="A52:G52"/>
    <mergeCell ref="E43:G43"/>
    <mergeCell ref="E45:G45"/>
    <mergeCell ref="A48:G48"/>
    <mergeCell ref="I48:J48"/>
    <mergeCell ref="L48:S49"/>
    <mergeCell ref="A49:G49"/>
    <mergeCell ref="I49:J49"/>
    <mergeCell ref="I52:J52"/>
    <mergeCell ref="A53:G53"/>
    <mergeCell ref="I53:J53"/>
    <mergeCell ref="N52:S52"/>
    <mergeCell ref="A50:G50"/>
    <mergeCell ref="I50:J50"/>
    <mergeCell ref="A51:G51"/>
    <mergeCell ref="I51:J51"/>
    <mergeCell ref="L50:S50"/>
    <mergeCell ref="L51:U51"/>
    <mergeCell ref="E34:G34"/>
    <mergeCell ref="E35:G35"/>
    <mergeCell ref="E36:G36"/>
    <mergeCell ref="E37:G37"/>
    <mergeCell ref="E38:G38"/>
    <mergeCell ref="E39:G39"/>
    <mergeCell ref="E40:G40"/>
    <mergeCell ref="E41:G41"/>
    <mergeCell ref="E42:G42"/>
    <mergeCell ref="BP12:BZ12"/>
    <mergeCell ref="E15:G15"/>
    <mergeCell ref="E16:G16"/>
    <mergeCell ref="E17:G17"/>
    <mergeCell ref="E18:G18"/>
    <mergeCell ref="E19:G19"/>
    <mergeCell ref="E32:G32"/>
    <mergeCell ref="E21:G21"/>
    <mergeCell ref="E22:G22"/>
    <mergeCell ref="E23:G23"/>
    <mergeCell ref="E24:G24"/>
    <mergeCell ref="E25:G25"/>
    <mergeCell ref="E26:G26"/>
    <mergeCell ref="E27:G27"/>
    <mergeCell ref="E28:G28"/>
    <mergeCell ref="E29:G29"/>
    <mergeCell ref="E30:G30"/>
    <mergeCell ref="E31:G31"/>
    <mergeCell ref="P14:R14"/>
    <mergeCell ref="S14:U14"/>
    <mergeCell ref="N12:O12"/>
    <mergeCell ref="N14:O14"/>
    <mergeCell ref="X12:AI12"/>
    <mergeCell ref="AJ12:AN12"/>
    <mergeCell ref="AO12:AS12"/>
    <mergeCell ref="AT12:AX12"/>
    <mergeCell ref="AY12:BC12"/>
    <mergeCell ref="BD12:BH12"/>
    <mergeCell ref="BI12:BM12"/>
    <mergeCell ref="CU12:CY12"/>
    <mergeCell ref="CZ12:DD12"/>
    <mergeCell ref="A2:D3"/>
    <mergeCell ref="A9:U9"/>
    <mergeCell ref="A10:D10"/>
    <mergeCell ref="E10:G10"/>
    <mergeCell ref="I10:J10"/>
    <mergeCell ref="K10:L10"/>
    <mergeCell ref="N10:O10"/>
    <mergeCell ref="E2:Q3"/>
    <mergeCell ref="A11:M11"/>
    <mergeCell ref="P11:U11"/>
    <mergeCell ref="E12:G14"/>
    <mergeCell ref="I12:J12"/>
    <mergeCell ref="K12:K13"/>
    <mergeCell ref="L12:L13"/>
    <mergeCell ref="M12:M13"/>
    <mergeCell ref="P12:U12"/>
    <mergeCell ref="N11:O11"/>
    <mergeCell ref="CA12:CT12"/>
    <mergeCell ref="A13:D14"/>
    <mergeCell ref="H13:H14"/>
    <mergeCell ref="H62:I62"/>
    <mergeCell ref="A4:H4"/>
    <mergeCell ref="A8:B8"/>
    <mergeCell ref="C8:D8"/>
    <mergeCell ref="E8:F8"/>
    <mergeCell ref="G8:H8"/>
    <mergeCell ref="H61:I61"/>
    <mergeCell ref="A6:B6"/>
    <mergeCell ref="C6:D6"/>
    <mergeCell ref="E6:F6"/>
    <mergeCell ref="G6:H6"/>
    <mergeCell ref="A7:B7"/>
    <mergeCell ref="C7:D7"/>
    <mergeCell ref="E7:F7"/>
    <mergeCell ref="G7:H7"/>
    <mergeCell ref="A5:B5"/>
    <mergeCell ref="C5:D5"/>
    <mergeCell ref="E5:F5"/>
    <mergeCell ref="G5:H5"/>
    <mergeCell ref="I5:J5"/>
    <mergeCell ref="E20:G20"/>
    <mergeCell ref="I14:M14"/>
    <mergeCell ref="E44:G44"/>
    <mergeCell ref="E33:G33"/>
  </mergeCells>
  <phoneticPr fontId="4" type="noConversion"/>
  <conditionalFormatting sqref="A15:H15 D16:H37 A16:C45 D38:E38 H38 D39:H45">
    <cfRule type="expression" dxfId="1002" priority="27">
      <formula>OR($C15="Orlov")</formula>
    </cfRule>
    <cfRule type="expression" dxfId="1001" priority="2" stopIfTrue="1">
      <formula>OR($C15="Normal uge 6")</formula>
    </cfRule>
    <cfRule type="expression" dxfId="1000" priority="3" stopIfTrue="1">
      <formula>OR($C15="Normal uge 5")</formula>
    </cfRule>
    <cfRule type="expression" dxfId="999" priority="41" stopIfTrue="1">
      <formula>OR($C15="Rul 2")</formula>
    </cfRule>
    <cfRule type="expression" dxfId="998" priority="40">
      <formula>OR($C15="weekend")</formula>
    </cfRule>
    <cfRule type="expression" dxfId="997" priority="39">
      <formula>OR($C15="feriedag")</formula>
    </cfRule>
    <cfRule type="expression" dxfId="996" priority="38" stopIfTrue="1">
      <formula>OR($C15="Ferieåbning")</formula>
    </cfRule>
    <cfRule type="expression" dxfId="995" priority="37">
      <formula>OR($C15="Anderledes dag")</formula>
    </cfRule>
    <cfRule type="expression" dxfId="994" priority="36">
      <formula>OR($C15="Koloni")</formula>
    </cfRule>
    <cfRule type="expression" dxfId="993" priority="35">
      <formula>OR($C15="ekskursion")</formula>
    </cfRule>
    <cfRule type="expression" dxfId="992" priority="34">
      <formula>OR($C15="SH-dag")</formula>
    </cfRule>
    <cfRule type="expression" dxfId="991" priority="33">
      <formula>OR($C15="nul-dag")</formula>
    </cfRule>
    <cfRule type="expression" dxfId="990" priority="16" stopIfTrue="1">
      <formula>OR($C15="Rul 6")</formula>
    </cfRule>
    <cfRule type="expression" dxfId="989" priority="17" stopIfTrue="1">
      <formula>OR($C15="Rul 5")</formula>
    </cfRule>
    <cfRule type="expression" dxfId="988" priority="18" stopIfTrue="1">
      <formula>OR($C15="Rul 4")</formula>
    </cfRule>
    <cfRule type="expression" dxfId="987" priority="19" stopIfTrue="1">
      <formula>OR($C15="Rul 3")</formula>
    </cfRule>
    <cfRule type="expression" dxfId="986" priority="20" stopIfTrue="1">
      <formula>OR($C15="Rul 1")</formula>
    </cfRule>
    <cfRule type="expression" dxfId="985" priority="21">
      <formula>OR($C15="Normal uge 1")</formula>
    </cfRule>
    <cfRule type="expression" dxfId="984" priority="32">
      <formula>OR($C15="pæd.dag")</formula>
    </cfRule>
    <cfRule type="expression" dxfId="983" priority="31">
      <formula>OR($C15="Ikke relevant")</formula>
    </cfRule>
    <cfRule type="expression" dxfId="982" priority="30">
      <formula>OR($C15="Normal uge 4")</formula>
    </cfRule>
    <cfRule type="expression" dxfId="981" priority="29">
      <formula>OR($C15="Normal uge 3")</formula>
    </cfRule>
    <cfRule type="expression" dxfId="980" priority="28">
      <formula>OR($C15="Normal uge 2")</formula>
    </cfRule>
  </conditionalFormatting>
  <conditionalFormatting sqref="E26">
    <cfRule type="expression" dxfId="979" priority="52">
      <formula>OR($D25="Ikke relevant")</formula>
    </cfRule>
    <cfRule type="expression" dxfId="978" priority="42">
      <formula>OR($D25="pæd.dag")</formula>
    </cfRule>
    <cfRule type="expression" dxfId="977" priority="50">
      <formula>OR($D25="weekend")</formula>
    </cfRule>
    <cfRule type="expression" dxfId="976" priority="49">
      <formula>OR($D25="feriedag")</formula>
    </cfRule>
    <cfRule type="expression" dxfId="975" priority="48">
      <formula>OR($D25="fagdag")</formula>
    </cfRule>
    <cfRule type="expression" dxfId="974" priority="47">
      <formula>OR($D25="emnedag")</formula>
    </cfRule>
    <cfRule type="expression" dxfId="973" priority="46">
      <formula>OR($D25="lejrskole")</formula>
    </cfRule>
    <cfRule type="expression" dxfId="972" priority="45">
      <formula>OR($D25="ekskursion")</formula>
    </cfRule>
    <cfRule type="expression" dxfId="971" priority="44">
      <formula>OR($D25="SH-dag")</formula>
    </cfRule>
    <cfRule type="expression" dxfId="970" priority="51" stopIfTrue="1">
      <formula>OR($D25="skoledag")</formula>
    </cfRule>
    <cfRule type="expression" dxfId="969" priority="43">
      <formula>OR($D25="nul-dag")</formula>
    </cfRule>
  </conditionalFormatting>
  <conditionalFormatting sqref="I15:J45">
    <cfRule type="expression" dxfId="968" priority="25">
      <formula>OR($C15="Koloni",)</formula>
    </cfRule>
    <cfRule type="expression" dxfId="967" priority="15" stopIfTrue="1">
      <formula>OR($C15="Ferieåbning",)</formula>
    </cfRule>
    <cfRule type="expression" dxfId="966" priority="14">
      <formula>OR($C15="Anderledes dag",)</formula>
    </cfRule>
    <cfRule type="expression" dxfId="965" priority="13">
      <formula>OR($C15="Ekskursion",)</formula>
    </cfRule>
  </conditionalFormatting>
  <conditionalFormatting sqref="J15:J45">
    <cfRule type="expression" dxfId="964" priority="26">
      <formula>OR($C15="Pæd.dag",)</formula>
    </cfRule>
  </conditionalFormatting>
  <conditionalFormatting sqref="M15:M45">
    <cfRule type="expression" dxfId="963" priority="53">
      <formula>OR($H15&gt;"0",)</formula>
    </cfRule>
  </conditionalFormatting>
  <conditionalFormatting sqref="O15:O45">
    <cfRule type="expression" dxfId="961" priority="8">
      <formula>OR($N15&gt;0,)</formula>
    </cfRule>
  </conditionalFormatting>
  <conditionalFormatting sqref="S15:S45">
    <cfRule type="expression" dxfId="960" priority="24">
      <formula>OR($P15="X",)</formula>
    </cfRule>
  </conditionalFormatting>
  <conditionalFormatting sqref="T15:T45">
    <cfRule type="expression" dxfId="959" priority="23">
      <formula>OR($Q15="X",)</formula>
    </cfRule>
  </conditionalFormatting>
  <conditionalFormatting sqref="T53:T56">
    <cfRule type="expression" dxfId="958" priority="5">
      <formula>OR($L53&gt;0,)</formula>
    </cfRule>
  </conditionalFormatting>
  <conditionalFormatting sqref="U15:U45">
    <cfRule type="expression" dxfId="957" priority="22">
      <formula>OR($R15="X",)</formula>
    </cfRule>
  </conditionalFormatting>
  <conditionalFormatting sqref="U53:U54 U56">
    <cfRule type="expression" dxfId="956" priority="10">
      <formula>OR($M53&gt;0,)</formula>
    </cfRule>
  </conditionalFormatting>
  <conditionalFormatting sqref="U55:W55">
    <cfRule type="expression" dxfId="955" priority="6">
      <formula>OR($M55&gt;0,)</formula>
    </cfRule>
  </conditionalFormatting>
  <conditionalFormatting sqref="BN54 BN56:BN57">
    <cfRule type="expression" dxfId="954" priority="1">
      <formula>OR(#REF!&gt;0,)</formula>
    </cfRule>
  </conditionalFormatting>
  <conditionalFormatting sqref="BP55">
    <cfRule type="expression" dxfId="953" priority="7">
      <formula>OR(#REF!&gt;0,)</formula>
    </cfRule>
  </conditionalFormatting>
  <conditionalFormatting sqref="BR58">
    <cfRule type="expression" dxfId="952" priority="54">
      <formula>OR(#REF!&gt;0,)</formula>
    </cfRule>
  </conditionalFormatting>
  <dataValidations count="3">
    <dataValidation type="list" allowBlank="1" showInputMessage="1" sqref="C15:C45" xr:uid="{9E104DEF-A40A-CA4A-A2DF-5A790E7A82CF}">
      <formula1>$A$60:$A$82</formula1>
    </dataValidation>
    <dataValidation type="list" allowBlank="1" showInputMessage="1" showErrorMessage="1" sqref="R15:R43 P15:Q45 L53:M54 L56:M56" xr:uid="{1BBB36C6-B318-AF42-A21A-08096963CD0B}">
      <formula1>$Y$1:$Y$2</formula1>
    </dataValidation>
    <dataValidation type="list" allowBlank="1" showInputMessage="1" showErrorMessage="1" sqref="L55:M55" xr:uid="{BDE91ED6-26E6-934D-BF73-7B82A867996E}">
      <formula1>$AA$1:$AA$2</formula1>
    </dataValidation>
  </dataValidations>
  <hyperlinks>
    <hyperlink ref="A5:B5" location="'Normal uger'!A11" display="Normale uger" xr:uid="{D007CBF2-375B-A943-AA60-6FA27CDDDCB9}"/>
    <hyperlink ref="C5:D5" location="Rul!B20" display="Rul" xr:uid="{AECF70F1-56D5-2847-82B8-CEF111FADCF0}"/>
    <hyperlink ref="E5:F5" location="Arbejdstidsoversigt!A19" display="Arbejdstids-oversigt" xr:uid="{5629D4DE-A065-E44C-879F-ACC0FB4D9C70}"/>
    <hyperlink ref="G5:H5" location="Opgørelse!B12" display="Opgørelse" xr:uid="{692A7873-FC3A-B948-8737-E7D07AE9F70C}"/>
    <hyperlink ref="A6:B6" location="August!A12" display="August" xr:uid="{F725BBC1-76F5-7841-8A6C-3B4C969D039E}"/>
    <hyperlink ref="C6:D6" location="September!A8" display="September" xr:uid="{A7E4E7C4-8E1C-E645-95CB-149D18A8359C}"/>
    <hyperlink ref="E6:F6" location="Oktober!A8" display="Oktober" xr:uid="{5D362C89-043E-0B41-87B3-9CE92BBB9C7D}"/>
    <hyperlink ref="G6:H6" location="November!A8" display="November" xr:uid="{010FCD70-7B4B-5742-9165-DC3BD39915BC}"/>
    <hyperlink ref="A7:B7" location="December!A8" display="December" xr:uid="{5F3C46C1-60D1-1C44-97A3-156253EBC035}"/>
    <hyperlink ref="C7:D7" location="Januar!A8" display="Januar" xr:uid="{C0DF3AEC-4F9B-1F48-B881-83EF91F1606D}"/>
    <hyperlink ref="E7:F7" location="Februar!A8" display="Februar" xr:uid="{38003962-DE04-7D43-9C9C-598EE165B125}"/>
    <hyperlink ref="A8:B8" location="April!A8" display="April" xr:uid="{6C71BD04-8E81-F149-9A2E-6B7719FB9A26}"/>
    <hyperlink ref="C8:D8" location="Maj!A8" display="Maj" xr:uid="{C9BEB7FB-63A8-2A4E-9217-33DC3BACD991}"/>
    <hyperlink ref="E8:F8" location="Juni!A8" display="Juni" xr:uid="{0BB13912-0CCE-DD49-A76B-C4E901AC423E}"/>
    <hyperlink ref="G8:H8" location="Juli!A8" display="Juli" xr:uid="{89143D4B-E3B6-2F41-BD99-75A86D7A6CC0}"/>
    <hyperlink ref="G7:H7" location="Marts!A8" display="Marts" xr:uid="{63C85EC0-4698-0648-89C0-D6A3AB06F24F}"/>
    <hyperlink ref="I5:J5" location="Stamoplysninger!E18" display="Stamoplysninger" xr:uid="{C54F433C-A0E4-984E-B5A7-251E5171676E}"/>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3B11FA06-5FB1-3048-B2D5-804F2758F7AD}">
            <xm:f>OR(Arbejdstidsoversigt!$H$54="Puljetimer registreres ikke men afvikles jævnt hen over normperioden",)</xm:f>
            <x14:dxf>
              <fill>
                <patternFill>
                  <bgColor theme="1"/>
                </patternFill>
              </fill>
            </x14:dxf>
          </x14:cfRule>
          <xm:sqref>N15:N45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3451F-10FB-854D-BD77-1900987BE146}">
  <sheetPr>
    <tabColor theme="4" tint="-0.249977111117893"/>
    <pageSetUpPr fitToPage="1"/>
  </sheetPr>
  <dimension ref="A1:DQ126"/>
  <sheetViews>
    <sheetView topLeftCell="A14" zoomScaleNormal="100" workbookViewId="0">
      <selection activeCell="M36" sqref="M3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31" width="0" hidden="1"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57" customHeight="1">
      <c r="A2" s="886">
        <v>6</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Juni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Januar!A12</f>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136</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4" si="0">CHOOSE(MOD(WEEKDAY(DATE(A$12,A$2,A15)),7)+1,"lø","sø","ma","ti","on","to","fr",)</f>
        <v>ma</v>
      </c>
      <c r="C15" s="73" t="s">
        <v>217</v>
      </c>
      <c r="D15" s="74">
        <f t="shared" ref="D15:D44" si="1">IF(B15="ma",(DATE(A$12,A$2,A15)-DATE(A$12,1,1)+7)/7,"")</f>
        <v>22.571428571428573</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4" si="2">IF(Q15="x",T15-L15,0)</f>
        <v>0</v>
      </c>
      <c r="X15" s="358">
        <f>IF($C$15="Anderledes dag",$I$15,0)</f>
        <v>0</v>
      </c>
      <c r="Y15" s="358">
        <f>IF(C15="Ferieåbning",I15,0)</f>
        <v>0</v>
      </c>
      <c r="Z15" s="358">
        <f t="shared" ref="Z15:Z44"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4" si="4">SUM(AJ15:AN15)*24</f>
        <v>0</v>
      </c>
      <c r="BP15" s="358">
        <f t="shared" ref="BP15:BP44" si="5">IF(C15="Anderledes dag",J15,0)</f>
        <v>0</v>
      </c>
      <c r="BQ15" s="358">
        <f t="shared" ref="BQ15:BQ44" si="6">IF(C15="Ferieåbning",J15,0)</f>
        <v>0</v>
      </c>
      <c r="BR15" s="358">
        <f t="shared" ref="BR15:BR44" si="7">IF(C15="Pæd.dag",J15,0)</f>
        <v>0</v>
      </c>
      <c r="BS15" s="358">
        <f t="shared" ref="BS15:BS44" si="8">IF(C15="Ekskursion",J15,0)</f>
        <v>0</v>
      </c>
      <c r="BT15" s="358">
        <f t="shared" ref="BT15:BT44" si="9">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4" si="10">IF(AND(E15&gt;0,H15&gt;0),""&amp;E15&amp;" og "&amp;H15&amp;"","")</f>
        <v/>
      </c>
      <c r="DG15">
        <f t="shared" ref="DG15:DG44" si="11">IF(H15="",E15,"")</f>
        <v>0</v>
      </c>
      <c r="DH15">
        <f t="shared" ref="DH15:DH44" si="12">IF(E15="",H15,"")</f>
        <v>0</v>
      </c>
      <c r="DI15" t="str">
        <f t="shared" ref="DI15:DK45" si="13">IF(DF15=0,"",DF15)</f>
        <v/>
      </c>
      <c r="DJ15" t="str">
        <f>IF(DG15=0,"",DG15)</f>
        <v/>
      </c>
      <c r="DK15" t="str">
        <f>IF(DH15=0,"",DH15)</f>
        <v/>
      </c>
      <c r="DL15" t="str">
        <f>DI15&amp;""&amp;DJ15&amp;""&amp;DK15</f>
        <v/>
      </c>
    </row>
    <row r="16" spans="1:116">
      <c r="A16" s="135">
        <f t="shared" ref="A16:A44" si="14">IF(ISNUMBER(A15),A15+1,1)</f>
        <v>2</v>
      </c>
      <c r="B16" s="72" t="str">
        <f t="shared" si="0"/>
        <v>ti</v>
      </c>
      <c r="C16" s="73" t="s">
        <v>217</v>
      </c>
      <c r="D16" s="74" t="str">
        <f t="shared" si="1"/>
        <v/>
      </c>
      <c r="E16" s="858"/>
      <c r="F16" s="859"/>
      <c r="G16" s="860"/>
      <c r="H16" s="175"/>
      <c r="I16" s="221"/>
      <c r="J16" s="221"/>
      <c r="K16" s="191">
        <f t="shared" ref="K16:K44" si="15">BN16</f>
        <v>0</v>
      </c>
      <c r="L16" s="191">
        <f t="shared" ref="L16:L44" si="16">DE16</f>
        <v>0</v>
      </c>
      <c r="M16" s="238"/>
      <c r="N16" s="357"/>
      <c r="O16" s="408"/>
      <c r="P16" s="195"/>
      <c r="Q16" s="196"/>
      <c r="R16" s="196"/>
      <c r="S16" s="192"/>
      <c r="T16" s="255"/>
      <c r="U16" s="193"/>
      <c r="V16">
        <f t="shared" ref="V16:V44" si="17">IF(P16="x",S16-K16,0)</f>
        <v>0</v>
      </c>
      <c r="W16">
        <f t="shared" si="2"/>
        <v>0</v>
      </c>
      <c r="X16" s="358">
        <f t="shared" ref="X16:X44" si="18">IF(C16="Anderledes dag",I16,0)</f>
        <v>0</v>
      </c>
      <c r="Y16" s="358">
        <f t="shared" ref="Y16:Y44" si="19">IF(C16="Ferieåbning",I16,0)</f>
        <v>0</v>
      </c>
      <c r="Z16" s="358">
        <f t="shared" si="3"/>
        <v>0</v>
      </c>
      <c r="AA16" s="358">
        <f t="shared" ref="AA16:AA44" si="20">IF(C16="Ekskursion",I16,0)</f>
        <v>0</v>
      </c>
      <c r="AB16" s="358">
        <f t="shared" ref="AB16:AB44" si="21">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2">SUM(X16:BM16)</f>
        <v>0</v>
      </c>
      <c r="BO16" s="125">
        <f t="shared" si="4"/>
        <v>0</v>
      </c>
      <c r="BP16" s="358">
        <f t="shared" si="5"/>
        <v>0</v>
      </c>
      <c r="BQ16" s="358">
        <f t="shared" si="6"/>
        <v>0</v>
      </c>
      <c r="BR16" s="358">
        <f t="shared" si="7"/>
        <v>0</v>
      </c>
      <c r="BS16" s="358">
        <f t="shared" si="8"/>
        <v>0</v>
      </c>
      <c r="BT16" s="358">
        <f t="shared" si="9"/>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4" si="23">SUM(BP16:DD16)</f>
        <v>0</v>
      </c>
      <c r="DF16" t="str">
        <f t="shared" si="10"/>
        <v/>
      </c>
      <c r="DG16">
        <f t="shared" si="11"/>
        <v>0</v>
      </c>
      <c r="DH16">
        <f t="shared" si="12"/>
        <v>0</v>
      </c>
      <c r="DI16" t="str">
        <f t="shared" si="13"/>
        <v/>
      </c>
      <c r="DJ16" t="str">
        <f t="shared" si="13"/>
        <v/>
      </c>
      <c r="DK16" t="str">
        <f t="shared" si="13"/>
        <v/>
      </c>
      <c r="DL16" t="str">
        <f t="shared" ref="DL16:DL44" si="24">DI16&amp;""&amp;DJ16&amp;""&amp;DK16</f>
        <v/>
      </c>
    </row>
    <row r="17" spans="1:116">
      <c r="A17" s="135">
        <f t="shared" si="14"/>
        <v>3</v>
      </c>
      <c r="B17" s="72" t="str">
        <f t="shared" si="0"/>
        <v>on</v>
      </c>
      <c r="C17" s="73" t="s">
        <v>217</v>
      </c>
      <c r="D17" s="74" t="str">
        <f t="shared" si="1"/>
        <v/>
      </c>
      <c r="E17" s="858"/>
      <c r="F17" s="859"/>
      <c r="G17" s="860"/>
      <c r="H17" s="175"/>
      <c r="I17" s="221"/>
      <c r="J17" s="221"/>
      <c r="K17" s="191">
        <f t="shared" si="15"/>
        <v>0</v>
      </c>
      <c r="L17" s="191">
        <f t="shared" si="16"/>
        <v>0</v>
      </c>
      <c r="M17" s="238"/>
      <c r="N17" s="357"/>
      <c r="O17" s="408"/>
      <c r="P17" s="195"/>
      <c r="Q17" s="196"/>
      <c r="R17" s="196"/>
      <c r="S17" s="192"/>
      <c r="T17" s="255"/>
      <c r="U17" s="193"/>
      <c r="V17">
        <f t="shared" si="17"/>
        <v>0</v>
      </c>
      <c r="W17">
        <f t="shared" si="2"/>
        <v>0</v>
      </c>
      <c r="X17" s="358">
        <f t="shared" si="18"/>
        <v>0</v>
      </c>
      <c r="Y17" s="358">
        <f t="shared" si="19"/>
        <v>0</v>
      </c>
      <c r="Z17" s="358">
        <f t="shared" si="3"/>
        <v>0</v>
      </c>
      <c r="AA17" s="358">
        <f t="shared" si="20"/>
        <v>0</v>
      </c>
      <c r="AB17" s="358">
        <f t="shared" si="21"/>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2"/>
        <v>0</v>
      </c>
      <c r="BO17" s="125">
        <f t="shared" si="4"/>
        <v>0</v>
      </c>
      <c r="BP17" s="358">
        <f t="shared" si="5"/>
        <v>0</v>
      </c>
      <c r="BQ17" s="358">
        <f t="shared" si="6"/>
        <v>0</v>
      </c>
      <c r="BR17" s="358">
        <f t="shared" si="7"/>
        <v>0</v>
      </c>
      <c r="BS17" s="358">
        <f t="shared" si="8"/>
        <v>0</v>
      </c>
      <c r="BT17" s="358">
        <f t="shared" si="9"/>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4</v>
      </c>
      <c r="B18" s="72" t="str">
        <f t="shared" si="0"/>
        <v>to</v>
      </c>
      <c r="C18" s="73" t="s">
        <v>217</v>
      </c>
      <c r="D18" s="74" t="str">
        <f t="shared" si="1"/>
        <v/>
      </c>
      <c r="E18" s="858"/>
      <c r="F18" s="859"/>
      <c r="G18" s="860"/>
      <c r="H18" s="175"/>
      <c r="I18" s="221"/>
      <c r="J18" s="221"/>
      <c r="K18" s="191">
        <f t="shared" si="15"/>
        <v>0</v>
      </c>
      <c r="L18" s="191">
        <f t="shared" si="16"/>
        <v>0</v>
      </c>
      <c r="M18" s="238"/>
      <c r="N18" s="357"/>
      <c r="O18" s="408"/>
      <c r="P18" s="195"/>
      <c r="Q18" s="196"/>
      <c r="R18" s="196"/>
      <c r="S18" s="192"/>
      <c r="T18" s="255"/>
      <c r="U18" s="193"/>
      <c r="V18">
        <f t="shared" si="17"/>
        <v>0</v>
      </c>
      <c r="W18">
        <f t="shared" si="2"/>
        <v>0</v>
      </c>
      <c r="X18" s="358">
        <f t="shared" si="18"/>
        <v>0</v>
      </c>
      <c r="Y18" s="358">
        <f t="shared" si="19"/>
        <v>0</v>
      </c>
      <c r="Z18" s="358">
        <f t="shared" si="3"/>
        <v>0</v>
      </c>
      <c r="AA18" s="358">
        <f t="shared" si="20"/>
        <v>0</v>
      </c>
      <c r="AB18" s="358">
        <f t="shared" si="21"/>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2"/>
        <v>0</v>
      </c>
      <c r="BO18" s="125">
        <f t="shared" si="4"/>
        <v>0</v>
      </c>
      <c r="BP18" s="358">
        <f t="shared" si="5"/>
        <v>0</v>
      </c>
      <c r="BQ18" s="358">
        <f t="shared" si="6"/>
        <v>0</v>
      </c>
      <c r="BR18" s="358">
        <f t="shared" si="7"/>
        <v>0</v>
      </c>
      <c r="BS18" s="358">
        <f t="shared" si="8"/>
        <v>0</v>
      </c>
      <c r="BT18" s="358">
        <f t="shared" si="9"/>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5</v>
      </c>
      <c r="B19" s="72" t="str">
        <f t="shared" si="0"/>
        <v>fr</v>
      </c>
      <c r="C19" s="73" t="s">
        <v>217</v>
      </c>
      <c r="D19" s="74" t="str">
        <f t="shared" si="1"/>
        <v/>
      </c>
      <c r="E19" s="858" t="s">
        <v>113</v>
      </c>
      <c r="F19" s="859"/>
      <c r="G19" s="860"/>
      <c r="H19" s="175"/>
      <c r="I19" s="221"/>
      <c r="J19" s="221"/>
      <c r="K19" s="191">
        <f t="shared" si="15"/>
        <v>0</v>
      </c>
      <c r="L19" s="191">
        <f t="shared" si="16"/>
        <v>0</v>
      </c>
      <c r="M19" s="238"/>
      <c r="N19" s="357"/>
      <c r="O19" s="408"/>
      <c r="P19" s="195"/>
      <c r="Q19" s="196"/>
      <c r="R19" s="196"/>
      <c r="S19" s="192"/>
      <c r="T19" s="255"/>
      <c r="U19" s="193"/>
      <c r="V19">
        <f t="shared" si="17"/>
        <v>0</v>
      </c>
      <c r="W19">
        <f t="shared" si="2"/>
        <v>0</v>
      </c>
      <c r="X19" s="358">
        <f t="shared" si="18"/>
        <v>0</v>
      </c>
      <c r="Y19" s="358">
        <f t="shared" si="19"/>
        <v>0</v>
      </c>
      <c r="Z19" s="358">
        <f t="shared" si="3"/>
        <v>0</v>
      </c>
      <c r="AA19" s="358">
        <f t="shared" si="20"/>
        <v>0</v>
      </c>
      <c r="AB19" s="358">
        <f t="shared" si="21"/>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2"/>
        <v>0</v>
      </c>
      <c r="BO19" s="125">
        <f t="shared" si="4"/>
        <v>0</v>
      </c>
      <c r="BP19" s="358">
        <f t="shared" si="5"/>
        <v>0</v>
      </c>
      <c r="BQ19" s="358">
        <f t="shared" si="6"/>
        <v>0</v>
      </c>
      <c r="BR19" s="358">
        <f t="shared" si="7"/>
        <v>0</v>
      </c>
      <c r="BS19" s="358">
        <f t="shared" si="8"/>
        <v>0</v>
      </c>
      <c r="BT19" s="358">
        <f t="shared" si="9"/>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10"/>
        <v/>
      </c>
      <c r="DG19" t="str">
        <f t="shared" si="11"/>
        <v>Grundlovsdag</v>
      </c>
      <c r="DH19" t="str">
        <f t="shared" si="12"/>
        <v/>
      </c>
      <c r="DI19" t="str">
        <f t="shared" si="13"/>
        <v/>
      </c>
      <c r="DJ19" t="str">
        <f t="shared" si="13"/>
        <v>Grundlovsdag</v>
      </c>
      <c r="DK19" t="str">
        <f t="shared" si="13"/>
        <v/>
      </c>
      <c r="DL19" t="str">
        <f t="shared" si="24"/>
        <v>Grundlovsdag</v>
      </c>
    </row>
    <row r="20" spans="1:116" ht="16" customHeight="1">
      <c r="A20" s="135">
        <f t="shared" si="14"/>
        <v>6</v>
      </c>
      <c r="B20" s="72" t="str">
        <f t="shared" si="0"/>
        <v>lø</v>
      </c>
      <c r="C20" s="73" t="s">
        <v>77</v>
      </c>
      <c r="D20" s="74" t="str">
        <f t="shared" si="1"/>
        <v/>
      </c>
      <c r="E20" s="858"/>
      <c r="F20" s="859"/>
      <c r="G20" s="860"/>
      <c r="H20" s="175"/>
      <c r="I20" s="221"/>
      <c r="J20" s="221"/>
      <c r="K20" s="191">
        <f t="shared" si="15"/>
        <v>0</v>
      </c>
      <c r="L20" s="191">
        <f t="shared" si="16"/>
        <v>0</v>
      </c>
      <c r="M20" s="238"/>
      <c r="N20" s="357"/>
      <c r="O20" s="408"/>
      <c r="P20" s="195"/>
      <c r="Q20" s="196"/>
      <c r="R20" s="196"/>
      <c r="S20" s="192"/>
      <c r="T20" s="255"/>
      <c r="U20" s="193"/>
      <c r="V20">
        <f t="shared" si="17"/>
        <v>0</v>
      </c>
      <c r="W20">
        <f t="shared" si="2"/>
        <v>0</v>
      </c>
      <c r="X20" s="358">
        <f t="shared" si="18"/>
        <v>0</v>
      </c>
      <c r="Y20" s="358">
        <f t="shared" si="19"/>
        <v>0</v>
      </c>
      <c r="Z20" s="358">
        <f t="shared" si="3"/>
        <v>0</v>
      </c>
      <c r="AA20" s="358">
        <f t="shared" si="20"/>
        <v>0</v>
      </c>
      <c r="AB20" s="358">
        <f t="shared" si="21"/>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2"/>
        <v>0</v>
      </c>
      <c r="BO20" s="125">
        <f t="shared" si="4"/>
        <v>0</v>
      </c>
      <c r="BP20" s="358">
        <f t="shared" si="5"/>
        <v>0</v>
      </c>
      <c r="BQ20" s="358">
        <f t="shared" si="6"/>
        <v>0</v>
      </c>
      <c r="BR20" s="358">
        <f t="shared" si="7"/>
        <v>0</v>
      </c>
      <c r="BS20" s="358">
        <f t="shared" si="8"/>
        <v>0</v>
      </c>
      <c r="BT20" s="358">
        <f t="shared" si="9"/>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10"/>
        <v/>
      </c>
      <c r="DG20">
        <f t="shared" si="11"/>
        <v>0</v>
      </c>
      <c r="DH20">
        <f t="shared" si="12"/>
        <v>0</v>
      </c>
      <c r="DI20" t="str">
        <f t="shared" si="13"/>
        <v/>
      </c>
      <c r="DJ20" t="str">
        <f t="shared" si="13"/>
        <v/>
      </c>
      <c r="DK20" t="str">
        <f t="shared" si="13"/>
        <v/>
      </c>
      <c r="DL20" t="str">
        <f t="shared" si="24"/>
        <v/>
      </c>
    </row>
    <row r="21" spans="1:116" ht="16" customHeight="1">
      <c r="A21" s="135">
        <f t="shared" si="14"/>
        <v>7</v>
      </c>
      <c r="B21" s="72" t="str">
        <f t="shared" si="0"/>
        <v>sø</v>
      </c>
      <c r="C21" s="73" t="s">
        <v>77</v>
      </c>
      <c r="D21" s="74" t="str">
        <f t="shared" si="1"/>
        <v/>
      </c>
      <c r="E21" s="858"/>
      <c r="F21" s="859"/>
      <c r="G21" s="860"/>
      <c r="H21" s="175"/>
      <c r="I21" s="221"/>
      <c r="J21" s="221"/>
      <c r="K21" s="191">
        <f t="shared" si="15"/>
        <v>0</v>
      </c>
      <c r="L21" s="191">
        <f t="shared" si="16"/>
        <v>0</v>
      </c>
      <c r="M21" s="238"/>
      <c r="N21" s="357"/>
      <c r="O21" s="408"/>
      <c r="P21" s="195"/>
      <c r="Q21" s="196"/>
      <c r="R21" s="196"/>
      <c r="S21" s="192"/>
      <c r="T21" s="255"/>
      <c r="U21" s="193"/>
      <c r="V21">
        <f t="shared" si="17"/>
        <v>0</v>
      </c>
      <c r="W21">
        <f t="shared" si="2"/>
        <v>0</v>
      </c>
      <c r="X21" s="358">
        <f t="shared" si="18"/>
        <v>0</v>
      </c>
      <c r="Y21" s="358">
        <f t="shared" si="19"/>
        <v>0</v>
      </c>
      <c r="Z21" s="358">
        <f t="shared" si="3"/>
        <v>0</v>
      </c>
      <c r="AA21" s="358">
        <f t="shared" si="20"/>
        <v>0</v>
      </c>
      <c r="AB21" s="358">
        <f t="shared" si="21"/>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2"/>
        <v>0</v>
      </c>
      <c r="BO21" s="125">
        <f t="shared" si="4"/>
        <v>0</v>
      </c>
      <c r="BP21" s="358">
        <f t="shared" si="5"/>
        <v>0</v>
      </c>
      <c r="BQ21" s="358">
        <f t="shared" si="6"/>
        <v>0</v>
      </c>
      <c r="BR21" s="358">
        <f t="shared" si="7"/>
        <v>0</v>
      </c>
      <c r="BS21" s="358">
        <f t="shared" si="8"/>
        <v>0</v>
      </c>
      <c r="BT21" s="358">
        <f t="shared" si="9"/>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 t="shared" si="14"/>
        <v>8</v>
      </c>
      <c r="B22" s="72" t="str">
        <f t="shared" si="0"/>
        <v>ma</v>
      </c>
      <c r="C22" s="73" t="s">
        <v>217</v>
      </c>
      <c r="D22" s="74">
        <f t="shared" si="1"/>
        <v>23.571428571428573</v>
      </c>
      <c r="E22" s="858"/>
      <c r="F22" s="859"/>
      <c r="G22" s="860"/>
      <c r="H22" s="175"/>
      <c r="I22" s="221"/>
      <c r="J22" s="221"/>
      <c r="K22" s="191">
        <f t="shared" si="15"/>
        <v>0</v>
      </c>
      <c r="L22" s="191">
        <f t="shared" si="16"/>
        <v>0</v>
      </c>
      <c r="M22" s="238"/>
      <c r="N22" s="357"/>
      <c r="O22" s="408"/>
      <c r="P22" s="195"/>
      <c r="Q22" s="196"/>
      <c r="R22" s="196"/>
      <c r="S22" s="192"/>
      <c r="T22" s="255"/>
      <c r="U22" s="193"/>
      <c r="V22">
        <f t="shared" si="17"/>
        <v>0</v>
      </c>
      <c r="W22">
        <f t="shared" si="2"/>
        <v>0</v>
      </c>
      <c r="X22" s="358">
        <f t="shared" si="18"/>
        <v>0</v>
      </c>
      <c r="Y22" s="358">
        <f t="shared" si="19"/>
        <v>0</v>
      </c>
      <c r="Z22" s="358">
        <f t="shared" si="3"/>
        <v>0</v>
      </c>
      <c r="AA22" s="358">
        <f t="shared" si="20"/>
        <v>0</v>
      </c>
      <c r="AB22" s="358">
        <f t="shared" si="21"/>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2"/>
        <v>0</v>
      </c>
      <c r="BO22" s="125">
        <f t="shared" si="4"/>
        <v>0</v>
      </c>
      <c r="BP22" s="358">
        <f t="shared" si="5"/>
        <v>0</v>
      </c>
      <c r="BQ22" s="358">
        <f t="shared" si="6"/>
        <v>0</v>
      </c>
      <c r="BR22" s="358">
        <f t="shared" si="7"/>
        <v>0</v>
      </c>
      <c r="BS22" s="358">
        <f t="shared" si="8"/>
        <v>0</v>
      </c>
      <c r="BT22" s="358">
        <f t="shared" si="9"/>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9</v>
      </c>
      <c r="B23" s="72" t="str">
        <f t="shared" si="0"/>
        <v>ti</v>
      </c>
      <c r="C23" s="73" t="s">
        <v>217</v>
      </c>
      <c r="D23" s="74" t="str">
        <f t="shared" si="1"/>
        <v/>
      </c>
      <c r="E23" s="858"/>
      <c r="F23" s="859"/>
      <c r="G23" s="860"/>
      <c r="H23" s="175"/>
      <c r="I23" s="221"/>
      <c r="J23" s="221"/>
      <c r="K23" s="191">
        <f t="shared" si="15"/>
        <v>0</v>
      </c>
      <c r="L23" s="191">
        <f t="shared" si="16"/>
        <v>0</v>
      </c>
      <c r="M23" s="238"/>
      <c r="N23" s="357"/>
      <c r="O23" s="408"/>
      <c r="P23" s="195"/>
      <c r="Q23" s="196"/>
      <c r="R23" s="196"/>
      <c r="S23" s="192"/>
      <c r="T23" s="255"/>
      <c r="U23" s="193"/>
      <c r="V23">
        <f t="shared" si="17"/>
        <v>0</v>
      </c>
      <c r="W23">
        <f t="shared" si="2"/>
        <v>0</v>
      </c>
      <c r="X23" s="358">
        <f t="shared" si="18"/>
        <v>0</v>
      </c>
      <c r="Y23" s="358">
        <f t="shared" si="19"/>
        <v>0</v>
      </c>
      <c r="Z23" s="358">
        <f t="shared" si="3"/>
        <v>0</v>
      </c>
      <c r="AA23" s="358">
        <f t="shared" si="20"/>
        <v>0</v>
      </c>
      <c r="AB23" s="358">
        <f t="shared" si="21"/>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2"/>
        <v>0</v>
      </c>
      <c r="BO23" s="125">
        <f t="shared" si="4"/>
        <v>0</v>
      </c>
      <c r="BP23" s="358">
        <f t="shared" si="5"/>
        <v>0</v>
      </c>
      <c r="BQ23" s="358">
        <f t="shared" si="6"/>
        <v>0</v>
      </c>
      <c r="BR23" s="358">
        <f t="shared" si="7"/>
        <v>0</v>
      </c>
      <c r="BS23" s="358">
        <f t="shared" si="8"/>
        <v>0</v>
      </c>
      <c r="BT23" s="358">
        <f t="shared" si="9"/>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10</v>
      </c>
      <c r="B24" s="72" t="str">
        <f t="shared" si="0"/>
        <v>on</v>
      </c>
      <c r="C24" s="73" t="s">
        <v>217</v>
      </c>
      <c r="D24" s="74" t="str">
        <f t="shared" si="1"/>
        <v/>
      </c>
      <c r="E24" s="858"/>
      <c r="F24" s="859"/>
      <c r="G24" s="860"/>
      <c r="H24" s="175"/>
      <c r="I24" s="221"/>
      <c r="J24" s="221"/>
      <c r="K24" s="191">
        <f t="shared" si="15"/>
        <v>0</v>
      </c>
      <c r="L24" s="191">
        <f t="shared" si="16"/>
        <v>0</v>
      </c>
      <c r="M24" s="238"/>
      <c r="N24" s="357"/>
      <c r="O24" s="408"/>
      <c r="P24" s="195"/>
      <c r="Q24" s="196"/>
      <c r="R24" s="196"/>
      <c r="S24" s="192"/>
      <c r="T24" s="255"/>
      <c r="U24" s="193"/>
      <c r="V24">
        <f t="shared" si="17"/>
        <v>0</v>
      </c>
      <c r="W24">
        <f t="shared" si="2"/>
        <v>0</v>
      </c>
      <c r="X24" s="358">
        <f t="shared" si="18"/>
        <v>0</v>
      </c>
      <c r="Y24" s="358">
        <f t="shared" si="19"/>
        <v>0</v>
      </c>
      <c r="Z24" s="358">
        <f t="shared" si="3"/>
        <v>0</v>
      </c>
      <c r="AA24" s="358">
        <f t="shared" si="20"/>
        <v>0</v>
      </c>
      <c r="AB24" s="358">
        <f t="shared" si="21"/>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2"/>
        <v>0</v>
      </c>
      <c r="BO24" s="125">
        <f t="shared" si="4"/>
        <v>0</v>
      </c>
      <c r="BP24" s="358">
        <f t="shared" si="5"/>
        <v>0</v>
      </c>
      <c r="BQ24" s="358">
        <f t="shared" si="6"/>
        <v>0</v>
      </c>
      <c r="BR24" s="358">
        <f t="shared" si="7"/>
        <v>0</v>
      </c>
      <c r="BS24" s="358">
        <f t="shared" si="8"/>
        <v>0</v>
      </c>
      <c r="BT24" s="358">
        <f t="shared" si="9"/>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 t="shared" si="14"/>
        <v>11</v>
      </c>
      <c r="B25" s="72" t="str">
        <f t="shared" si="0"/>
        <v>to</v>
      </c>
      <c r="C25" s="73" t="s">
        <v>217</v>
      </c>
      <c r="D25" s="74" t="str">
        <f t="shared" si="1"/>
        <v/>
      </c>
      <c r="E25" s="858"/>
      <c r="F25" s="859"/>
      <c r="G25" s="860"/>
      <c r="H25" s="175"/>
      <c r="I25" s="221"/>
      <c r="J25" s="221"/>
      <c r="K25" s="191">
        <f t="shared" si="15"/>
        <v>0</v>
      </c>
      <c r="L25" s="191">
        <f t="shared" si="16"/>
        <v>0</v>
      </c>
      <c r="M25" s="238"/>
      <c r="N25" s="357"/>
      <c r="O25" s="408"/>
      <c r="P25" s="195"/>
      <c r="Q25" s="196"/>
      <c r="R25" s="196"/>
      <c r="S25" s="192"/>
      <c r="T25" s="255"/>
      <c r="U25" s="193"/>
      <c r="V25">
        <f t="shared" si="17"/>
        <v>0</v>
      </c>
      <c r="W25">
        <f t="shared" si="2"/>
        <v>0</v>
      </c>
      <c r="X25" s="358">
        <f t="shared" si="18"/>
        <v>0</v>
      </c>
      <c r="Y25" s="358">
        <f t="shared" si="19"/>
        <v>0</v>
      </c>
      <c r="Z25" s="358">
        <f t="shared" si="3"/>
        <v>0</v>
      </c>
      <c r="AA25" s="358">
        <f t="shared" si="20"/>
        <v>0</v>
      </c>
      <c r="AB25" s="358">
        <f t="shared" si="21"/>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2"/>
        <v>0</v>
      </c>
      <c r="BO25" s="125">
        <f t="shared" si="4"/>
        <v>0</v>
      </c>
      <c r="BP25" s="358">
        <f t="shared" si="5"/>
        <v>0</v>
      </c>
      <c r="BQ25" s="358">
        <f t="shared" si="6"/>
        <v>0</v>
      </c>
      <c r="BR25" s="358">
        <f t="shared" si="7"/>
        <v>0</v>
      </c>
      <c r="BS25" s="358">
        <f t="shared" si="8"/>
        <v>0</v>
      </c>
      <c r="BT25" s="358">
        <f t="shared" si="9"/>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IF(ISNUMBER(A25),A25+1,1)</f>
        <v>12</v>
      </c>
      <c r="B26" s="72" t="str">
        <f t="shared" si="0"/>
        <v>fr</v>
      </c>
      <c r="C26" s="73" t="s">
        <v>217</v>
      </c>
      <c r="D26" s="74" t="str">
        <f t="shared" si="1"/>
        <v/>
      </c>
      <c r="E26" s="858"/>
      <c r="F26" s="859"/>
      <c r="G26" s="860"/>
      <c r="H26" s="175"/>
      <c r="I26" s="221"/>
      <c r="J26" s="221"/>
      <c r="K26" s="191">
        <f t="shared" si="15"/>
        <v>0</v>
      </c>
      <c r="L26" s="191">
        <f t="shared" si="16"/>
        <v>0</v>
      </c>
      <c r="M26" s="238"/>
      <c r="N26" s="357"/>
      <c r="O26" s="408"/>
      <c r="P26" s="195"/>
      <c r="Q26" s="196"/>
      <c r="R26" s="196"/>
      <c r="S26" s="192"/>
      <c r="T26" s="255"/>
      <c r="U26" s="193"/>
      <c r="V26">
        <f t="shared" si="17"/>
        <v>0</v>
      </c>
      <c r="W26">
        <f t="shared" si="2"/>
        <v>0</v>
      </c>
      <c r="X26" s="358">
        <f t="shared" si="18"/>
        <v>0</v>
      </c>
      <c r="Y26" s="358">
        <f t="shared" si="19"/>
        <v>0</v>
      </c>
      <c r="Z26" s="358">
        <f t="shared" si="3"/>
        <v>0</v>
      </c>
      <c r="AA26" s="358">
        <f t="shared" si="20"/>
        <v>0</v>
      </c>
      <c r="AB26" s="358">
        <f t="shared" si="21"/>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2"/>
        <v>0</v>
      </c>
      <c r="BO26" s="125">
        <f t="shared" si="4"/>
        <v>0</v>
      </c>
      <c r="BP26" s="358">
        <f t="shared" si="5"/>
        <v>0</v>
      </c>
      <c r="BQ26" s="358">
        <f t="shared" si="6"/>
        <v>0</v>
      </c>
      <c r="BR26" s="358">
        <f t="shared" si="7"/>
        <v>0</v>
      </c>
      <c r="BS26" s="358">
        <f t="shared" si="8"/>
        <v>0</v>
      </c>
      <c r="BT26" s="358">
        <f t="shared" si="9"/>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IF(ISNUMBER(A26),A26+1,1)</f>
        <v>13</v>
      </c>
      <c r="B27" s="72" t="str">
        <f t="shared" si="0"/>
        <v>lø</v>
      </c>
      <c r="C27" s="73" t="s">
        <v>77</v>
      </c>
      <c r="D27" s="74" t="str">
        <f t="shared" si="1"/>
        <v/>
      </c>
      <c r="E27" s="861"/>
      <c r="F27" s="862"/>
      <c r="G27" s="863"/>
      <c r="H27" s="174"/>
      <c r="I27" s="221"/>
      <c r="J27" s="221"/>
      <c r="K27" s="191">
        <f t="shared" si="15"/>
        <v>0</v>
      </c>
      <c r="L27" s="191">
        <f t="shared" si="16"/>
        <v>0</v>
      </c>
      <c r="M27" s="238"/>
      <c r="N27" s="357"/>
      <c r="O27" s="408"/>
      <c r="P27" s="195"/>
      <c r="Q27" s="196"/>
      <c r="R27" s="196"/>
      <c r="S27" s="192"/>
      <c r="T27" s="255"/>
      <c r="U27" s="193"/>
      <c r="V27">
        <f t="shared" si="17"/>
        <v>0</v>
      </c>
      <c r="W27">
        <f t="shared" si="2"/>
        <v>0</v>
      </c>
      <c r="X27" s="358">
        <f t="shared" si="18"/>
        <v>0</v>
      </c>
      <c r="Y27" s="358">
        <f t="shared" si="19"/>
        <v>0</v>
      </c>
      <c r="Z27" s="358">
        <f t="shared" si="3"/>
        <v>0</v>
      </c>
      <c r="AA27" s="358">
        <f t="shared" si="20"/>
        <v>0</v>
      </c>
      <c r="AB27" s="358">
        <f t="shared" si="21"/>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2"/>
        <v>0</v>
      </c>
      <c r="BO27" s="125">
        <f t="shared" si="4"/>
        <v>0</v>
      </c>
      <c r="BP27" s="358">
        <f t="shared" si="5"/>
        <v>0</v>
      </c>
      <c r="BQ27" s="358">
        <f t="shared" si="6"/>
        <v>0</v>
      </c>
      <c r="BR27" s="358">
        <f t="shared" si="7"/>
        <v>0</v>
      </c>
      <c r="BS27" s="358">
        <f t="shared" si="8"/>
        <v>0</v>
      </c>
      <c r="BT27" s="358">
        <f t="shared" si="9"/>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14</v>
      </c>
      <c r="B28" s="72" t="str">
        <f t="shared" si="0"/>
        <v>sø</v>
      </c>
      <c r="C28" s="73" t="s">
        <v>77</v>
      </c>
      <c r="D28" s="74" t="str">
        <f t="shared" si="1"/>
        <v/>
      </c>
      <c r="E28" s="861"/>
      <c r="F28" s="862"/>
      <c r="G28" s="863"/>
      <c r="H28" s="174"/>
      <c r="I28" s="221"/>
      <c r="J28" s="221"/>
      <c r="K28" s="191">
        <f t="shared" si="15"/>
        <v>0</v>
      </c>
      <c r="L28" s="191">
        <f t="shared" si="16"/>
        <v>0</v>
      </c>
      <c r="M28" s="238"/>
      <c r="N28" s="357"/>
      <c r="O28" s="408"/>
      <c r="P28" s="195"/>
      <c r="Q28" s="196"/>
      <c r="R28" s="196"/>
      <c r="S28" s="192"/>
      <c r="T28" s="255"/>
      <c r="U28" s="193"/>
      <c r="V28">
        <f t="shared" si="17"/>
        <v>0</v>
      </c>
      <c r="W28">
        <f t="shared" si="2"/>
        <v>0</v>
      </c>
      <c r="X28" s="358">
        <f t="shared" si="18"/>
        <v>0</v>
      </c>
      <c r="Y28" s="358">
        <f t="shared" si="19"/>
        <v>0</v>
      </c>
      <c r="Z28" s="358">
        <f t="shared" si="3"/>
        <v>0</v>
      </c>
      <c r="AA28" s="358">
        <f t="shared" si="20"/>
        <v>0</v>
      </c>
      <c r="AB28" s="358">
        <f t="shared" si="21"/>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2"/>
        <v>0</v>
      </c>
      <c r="BO28" s="125">
        <f t="shared" si="4"/>
        <v>0</v>
      </c>
      <c r="BP28" s="358">
        <f t="shared" si="5"/>
        <v>0</v>
      </c>
      <c r="BQ28" s="358">
        <f t="shared" si="6"/>
        <v>0</v>
      </c>
      <c r="BR28" s="358">
        <f t="shared" si="7"/>
        <v>0</v>
      </c>
      <c r="BS28" s="358">
        <f t="shared" si="8"/>
        <v>0</v>
      </c>
      <c r="BT28" s="358">
        <f t="shared" si="9"/>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15</v>
      </c>
      <c r="B29" s="72" t="str">
        <f t="shared" si="0"/>
        <v>ma</v>
      </c>
      <c r="C29" s="73" t="s">
        <v>217</v>
      </c>
      <c r="D29" s="74">
        <f t="shared" si="1"/>
        <v>24.571428571428573</v>
      </c>
      <c r="E29" s="861"/>
      <c r="F29" s="862"/>
      <c r="G29" s="863"/>
      <c r="H29" s="174"/>
      <c r="I29" s="221"/>
      <c r="J29" s="221"/>
      <c r="K29" s="191">
        <f t="shared" si="15"/>
        <v>0</v>
      </c>
      <c r="L29" s="191">
        <f t="shared" si="16"/>
        <v>0</v>
      </c>
      <c r="M29" s="238"/>
      <c r="N29" s="357"/>
      <c r="O29" s="408"/>
      <c r="P29" s="195"/>
      <c r="Q29" s="196"/>
      <c r="R29" s="196"/>
      <c r="S29" s="192"/>
      <c r="T29" s="255"/>
      <c r="U29" s="193"/>
      <c r="V29">
        <f t="shared" si="17"/>
        <v>0</v>
      </c>
      <c r="W29">
        <f t="shared" si="2"/>
        <v>0</v>
      </c>
      <c r="X29" s="358">
        <f t="shared" si="18"/>
        <v>0</v>
      </c>
      <c r="Y29" s="358">
        <f t="shared" si="19"/>
        <v>0</v>
      </c>
      <c r="Z29" s="358">
        <f t="shared" si="3"/>
        <v>0</v>
      </c>
      <c r="AA29" s="358">
        <f t="shared" si="20"/>
        <v>0</v>
      </c>
      <c r="AB29" s="358">
        <f t="shared" si="21"/>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2"/>
        <v>0</v>
      </c>
      <c r="BO29" s="125">
        <f t="shared" si="4"/>
        <v>0</v>
      </c>
      <c r="BP29" s="358">
        <f t="shared" si="5"/>
        <v>0</v>
      </c>
      <c r="BQ29" s="358">
        <f t="shared" si="6"/>
        <v>0</v>
      </c>
      <c r="BR29" s="358">
        <f t="shared" si="7"/>
        <v>0</v>
      </c>
      <c r="BS29" s="358">
        <f t="shared" si="8"/>
        <v>0</v>
      </c>
      <c r="BT29" s="358">
        <f t="shared" si="9"/>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IF(ISNUMBER(A29),A29+1,1)</f>
        <v>16</v>
      </c>
      <c r="B30" s="72" t="str">
        <f t="shared" si="0"/>
        <v>ti</v>
      </c>
      <c r="C30" s="73" t="s">
        <v>217</v>
      </c>
      <c r="D30" s="74" t="str">
        <f t="shared" si="1"/>
        <v/>
      </c>
      <c r="E30" s="858"/>
      <c r="F30" s="859"/>
      <c r="G30" s="860"/>
      <c r="H30" s="175"/>
      <c r="I30" s="221"/>
      <c r="J30" s="221"/>
      <c r="K30" s="191">
        <f t="shared" si="15"/>
        <v>0</v>
      </c>
      <c r="L30" s="191">
        <f t="shared" si="16"/>
        <v>0</v>
      </c>
      <c r="M30" s="238"/>
      <c r="N30" s="357"/>
      <c r="O30" s="408"/>
      <c r="P30" s="195"/>
      <c r="Q30" s="196"/>
      <c r="R30" s="196"/>
      <c r="S30" s="192"/>
      <c r="T30" s="255"/>
      <c r="U30" s="193"/>
      <c r="V30">
        <f t="shared" si="17"/>
        <v>0</v>
      </c>
      <c r="W30">
        <f t="shared" si="2"/>
        <v>0</v>
      </c>
      <c r="X30" s="358">
        <f t="shared" si="18"/>
        <v>0</v>
      </c>
      <c r="Y30" s="358">
        <f t="shared" si="19"/>
        <v>0</v>
      </c>
      <c r="Z30" s="358">
        <f t="shared" si="3"/>
        <v>0</v>
      </c>
      <c r="AA30" s="358">
        <f t="shared" si="20"/>
        <v>0</v>
      </c>
      <c r="AB30" s="358">
        <f t="shared" si="21"/>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2"/>
        <v>0</v>
      </c>
      <c r="BO30" s="125">
        <f t="shared" si="4"/>
        <v>0</v>
      </c>
      <c r="BP30" s="358">
        <f t="shared" si="5"/>
        <v>0</v>
      </c>
      <c r="BQ30" s="358">
        <f t="shared" si="6"/>
        <v>0</v>
      </c>
      <c r="BR30" s="358">
        <f t="shared" si="7"/>
        <v>0</v>
      </c>
      <c r="BS30" s="358">
        <f t="shared" si="8"/>
        <v>0</v>
      </c>
      <c r="BT30" s="358">
        <f t="shared" si="9"/>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17</v>
      </c>
      <c r="B31" s="72" t="str">
        <f t="shared" si="0"/>
        <v>on</v>
      </c>
      <c r="C31" s="73" t="s">
        <v>217</v>
      </c>
      <c r="D31" s="74" t="str">
        <f t="shared" si="1"/>
        <v/>
      </c>
      <c r="E31" s="858"/>
      <c r="F31" s="859"/>
      <c r="G31" s="860"/>
      <c r="H31" s="175"/>
      <c r="I31" s="221"/>
      <c r="J31" s="221"/>
      <c r="K31" s="191">
        <f t="shared" si="15"/>
        <v>0</v>
      </c>
      <c r="L31" s="191">
        <f t="shared" si="16"/>
        <v>0</v>
      </c>
      <c r="M31" s="238"/>
      <c r="N31" s="357"/>
      <c r="O31" s="408"/>
      <c r="P31" s="195"/>
      <c r="Q31" s="196"/>
      <c r="R31" s="196"/>
      <c r="S31" s="192"/>
      <c r="T31" s="255"/>
      <c r="U31" s="193"/>
      <c r="V31">
        <f t="shared" si="17"/>
        <v>0</v>
      </c>
      <c r="W31">
        <f t="shared" si="2"/>
        <v>0</v>
      </c>
      <c r="X31" s="358">
        <f t="shared" si="18"/>
        <v>0</v>
      </c>
      <c r="Y31" s="358">
        <f t="shared" si="19"/>
        <v>0</v>
      </c>
      <c r="Z31" s="358">
        <f t="shared" si="3"/>
        <v>0</v>
      </c>
      <c r="AA31" s="358">
        <f t="shared" si="20"/>
        <v>0</v>
      </c>
      <c r="AB31" s="358">
        <f t="shared" si="21"/>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2"/>
        <v>0</v>
      </c>
      <c r="BO31" s="125">
        <f t="shared" si="4"/>
        <v>0</v>
      </c>
      <c r="BP31" s="358">
        <f t="shared" si="5"/>
        <v>0</v>
      </c>
      <c r="BQ31" s="358">
        <f t="shared" si="6"/>
        <v>0</v>
      </c>
      <c r="BR31" s="358">
        <f t="shared" si="7"/>
        <v>0</v>
      </c>
      <c r="BS31" s="358">
        <f t="shared" si="8"/>
        <v>0</v>
      </c>
      <c r="BT31" s="358">
        <f t="shared" si="9"/>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18</v>
      </c>
      <c r="B32" s="72" t="str">
        <f t="shared" si="0"/>
        <v>to</v>
      </c>
      <c r="C32" s="73" t="s">
        <v>217</v>
      </c>
      <c r="D32" s="74" t="str">
        <f t="shared" si="1"/>
        <v/>
      </c>
      <c r="E32" s="858"/>
      <c r="F32" s="859"/>
      <c r="G32" s="860"/>
      <c r="H32" s="175"/>
      <c r="I32" s="221"/>
      <c r="J32" s="221"/>
      <c r="K32" s="191">
        <f t="shared" si="15"/>
        <v>0</v>
      </c>
      <c r="L32" s="191">
        <f t="shared" si="16"/>
        <v>0</v>
      </c>
      <c r="M32" s="238"/>
      <c r="N32" s="357"/>
      <c r="O32" s="408"/>
      <c r="P32" s="195"/>
      <c r="Q32" s="196"/>
      <c r="R32" s="196"/>
      <c r="S32" s="192"/>
      <c r="T32" s="255"/>
      <c r="U32" s="193"/>
      <c r="V32">
        <f t="shared" si="17"/>
        <v>0</v>
      </c>
      <c r="W32">
        <f t="shared" si="2"/>
        <v>0</v>
      </c>
      <c r="X32" s="358">
        <f t="shared" si="18"/>
        <v>0</v>
      </c>
      <c r="Y32" s="358">
        <f t="shared" si="19"/>
        <v>0</v>
      </c>
      <c r="Z32" s="358">
        <f t="shared" si="3"/>
        <v>0</v>
      </c>
      <c r="AA32" s="358">
        <f t="shared" si="20"/>
        <v>0</v>
      </c>
      <c r="AB32" s="358">
        <f t="shared" si="21"/>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2"/>
        <v>0</v>
      </c>
      <c r="BO32" s="125">
        <f t="shared" si="4"/>
        <v>0</v>
      </c>
      <c r="BP32" s="358">
        <f t="shared" si="5"/>
        <v>0</v>
      </c>
      <c r="BQ32" s="358">
        <f t="shared" si="6"/>
        <v>0</v>
      </c>
      <c r="BR32" s="358">
        <f t="shared" si="7"/>
        <v>0</v>
      </c>
      <c r="BS32" s="358">
        <f t="shared" si="8"/>
        <v>0</v>
      </c>
      <c r="BT32" s="358">
        <f t="shared" si="9"/>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19</v>
      </c>
      <c r="B33" s="72" t="str">
        <f t="shared" si="0"/>
        <v>fr</v>
      </c>
      <c r="C33" s="73" t="s">
        <v>217</v>
      </c>
      <c r="D33" s="74" t="str">
        <f t="shared" si="1"/>
        <v/>
      </c>
      <c r="E33" s="858"/>
      <c r="F33" s="859"/>
      <c r="G33" s="860"/>
      <c r="H33" s="175"/>
      <c r="I33" s="221"/>
      <c r="J33" s="221"/>
      <c r="K33" s="191">
        <f t="shared" si="15"/>
        <v>0</v>
      </c>
      <c r="L33" s="191">
        <f t="shared" si="16"/>
        <v>0</v>
      </c>
      <c r="M33" s="238"/>
      <c r="N33" s="357"/>
      <c r="O33" s="408"/>
      <c r="P33" s="195"/>
      <c r="Q33" s="196"/>
      <c r="R33" s="196"/>
      <c r="S33" s="192"/>
      <c r="T33" s="255"/>
      <c r="U33" s="193"/>
      <c r="V33">
        <f t="shared" si="17"/>
        <v>0</v>
      </c>
      <c r="W33">
        <f t="shared" si="2"/>
        <v>0</v>
      </c>
      <c r="X33" s="358">
        <f t="shared" si="18"/>
        <v>0</v>
      </c>
      <c r="Y33" s="358">
        <f t="shared" si="19"/>
        <v>0</v>
      </c>
      <c r="Z33" s="358">
        <f t="shared" si="3"/>
        <v>0</v>
      </c>
      <c r="AA33" s="358">
        <f t="shared" si="20"/>
        <v>0</v>
      </c>
      <c r="AB33" s="358">
        <f t="shared" si="21"/>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2"/>
        <v>0</v>
      </c>
      <c r="BO33" s="125">
        <f t="shared" si="4"/>
        <v>0</v>
      </c>
      <c r="BP33" s="358">
        <f t="shared" si="5"/>
        <v>0</v>
      </c>
      <c r="BQ33" s="358">
        <f t="shared" si="6"/>
        <v>0</v>
      </c>
      <c r="BR33" s="358">
        <f t="shared" si="7"/>
        <v>0</v>
      </c>
      <c r="BS33" s="358">
        <f t="shared" si="8"/>
        <v>0</v>
      </c>
      <c r="BT33" s="358">
        <f t="shared" si="9"/>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20</v>
      </c>
      <c r="B34" s="72" t="str">
        <f t="shared" si="0"/>
        <v>lø</v>
      </c>
      <c r="C34" s="73" t="s">
        <v>77</v>
      </c>
      <c r="D34" s="74" t="str">
        <f t="shared" si="1"/>
        <v/>
      </c>
      <c r="E34" s="858"/>
      <c r="F34" s="859"/>
      <c r="G34" s="860"/>
      <c r="H34" s="175"/>
      <c r="I34" s="221"/>
      <c r="J34" s="221"/>
      <c r="K34" s="191">
        <f t="shared" si="15"/>
        <v>0</v>
      </c>
      <c r="L34" s="191">
        <f t="shared" si="16"/>
        <v>0</v>
      </c>
      <c r="M34" s="238"/>
      <c r="N34" s="357"/>
      <c r="O34" s="408"/>
      <c r="P34" s="195"/>
      <c r="Q34" s="196"/>
      <c r="R34" s="196"/>
      <c r="S34" s="192"/>
      <c r="T34" s="255"/>
      <c r="U34" s="193"/>
      <c r="V34">
        <f t="shared" si="17"/>
        <v>0</v>
      </c>
      <c r="W34">
        <f t="shared" si="2"/>
        <v>0</v>
      </c>
      <c r="X34" s="358">
        <f t="shared" si="18"/>
        <v>0</v>
      </c>
      <c r="Y34" s="358">
        <f t="shared" si="19"/>
        <v>0</v>
      </c>
      <c r="Z34" s="358">
        <f t="shared" si="3"/>
        <v>0</v>
      </c>
      <c r="AA34" s="358">
        <f t="shared" si="20"/>
        <v>0</v>
      </c>
      <c r="AB34" s="358">
        <f t="shared" si="21"/>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2"/>
        <v>0</v>
      </c>
      <c r="BO34" s="125">
        <f t="shared" si="4"/>
        <v>0</v>
      </c>
      <c r="BP34" s="358">
        <f t="shared" si="5"/>
        <v>0</v>
      </c>
      <c r="BQ34" s="358">
        <f t="shared" si="6"/>
        <v>0</v>
      </c>
      <c r="BR34" s="358">
        <f t="shared" si="7"/>
        <v>0</v>
      </c>
      <c r="BS34" s="358">
        <f t="shared" si="8"/>
        <v>0</v>
      </c>
      <c r="BT34" s="358">
        <f t="shared" si="9"/>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21</v>
      </c>
      <c r="B35" s="72" t="str">
        <f t="shared" si="0"/>
        <v>sø</v>
      </c>
      <c r="C35" s="73" t="s">
        <v>77</v>
      </c>
      <c r="D35" s="74" t="str">
        <f t="shared" si="1"/>
        <v/>
      </c>
      <c r="E35" s="858"/>
      <c r="F35" s="859"/>
      <c r="G35" s="860"/>
      <c r="H35" s="175"/>
      <c r="I35" s="221"/>
      <c r="J35" s="221"/>
      <c r="K35" s="191">
        <f t="shared" si="15"/>
        <v>0</v>
      </c>
      <c r="L35" s="191">
        <f t="shared" si="16"/>
        <v>0</v>
      </c>
      <c r="M35" s="238"/>
      <c r="N35" s="357"/>
      <c r="O35" s="408"/>
      <c r="P35" s="195"/>
      <c r="Q35" s="196"/>
      <c r="R35" s="196"/>
      <c r="S35" s="192"/>
      <c r="T35" s="255"/>
      <c r="U35" s="193"/>
      <c r="V35">
        <f t="shared" si="17"/>
        <v>0</v>
      </c>
      <c r="W35">
        <f t="shared" si="2"/>
        <v>0</v>
      </c>
      <c r="X35" s="358">
        <f t="shared" si="18"/>
        <v>0</v>
      </c>
      <c r="Y35" s="358">
        <f t="shared" si="19"/>
        <v>0</v>
      </c>
      <c r="Z35" s="358">
        <f t="shared" si="3"/>
        <v>0</v>
      </c>
      <c r="AA35" s="358">
        <f t="shared" si="20"/>
        <v>0</v>
      </c>
      <c r="AB35" s="358">
        <f t="shared" si="21"/>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2"/>
        <v>0</v>
      </c>
      <c r="BO35" s="125">
        <f t="shared" si="4"/>
        <v>0</v>
      </c>
      <c r="BP35" s="358">
        <f t="shared" si="5"/>
        <v>0</v>
      </c>
      <c r="BQ35" s="358">
        <f t="shared" si="6"/>
        <v>0</v>
      </c>
      <c r="BR35" s="358">
        <f t="shared" si="7"/>
        <v>0</v>
      </c>
      <c r="BS35" s="358">
        <f t="shared" si="8"/>
        <v>0</v>
      </c>
      <c r="BT35" s="358">
        <f t="shared" si="9"/>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22</v>
      </c>
      <c r="B36" s="72" t="str">
        <f t="shared" si="0"/>
        <v>ma</v>
      </c>
      <c r="C36" s="73" t="s">
        <v>217</v>
      </c>
      <c r="D36" s="74">
        <f t="shared" si="1"/>
        <v>25.571428571428573</v>
      </c>
      <c r="E36" s="858"/>
      <c r="F36" s="859"/>
      <c r="G36" s="860"/>
      <c r="H36" s="175"/>
      <c r="I36" s="221"/>
      <c r="J36" s="221"/>
      <c r="K36" s="191">
        <f t="shared" si="15"/>
        <v>0</v>
      </c>
      <c r="L36" s="191">
        <f t="shared" si="16"/>
        <v>0</v>
      </c>
      <c r="M36" s="238"/>
      <c r="N36" s="357"/>
      <c r="O36" s="408"/>
      <c r="P36" s="195"/>
      <c r="Q36" s="196"/>
      <c r="R36" s="196"/>
      <c r="S36" s="192"/>
      <c r="T36" s="255"/>
      <c r="U36" s="193"/>
      <c r="V36">
        <f t="shared" si="17"/>
        <v>0</v>
      </c>
      <c r="W36">
        <f t="shared" si="2"/>
        <v>0</v>
      </c>
      <c r="X36" s="358">
        <f t="shared" si="18"/>
        <v>0</v>
      </c>
      <c r="Y36" s="358">
        <f t="shared" si="19"/>
        <v>0</v>
      </c>
      <c r="Z36" s="358">
        <f t="shared" si="3"/>
        <v>0</v>
      </c>
      <c r="AA36" s="358">
        <f t="shared" si="20"/>
        <v>0</v>
      </c>
      <c r="AB36" s="358">
        <f t="shared" si="21"/>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2"/>
        <v>0</v>
      </c>
      <c r="BO36" s="125">
        <f t="shared" si="4"/>
        <v>0</v>
      </c>
      <c r="BP36" s="358">
        <f t="shared" si="5"/>
        <v>0</v>
      </c>
      <c r="BQ36" s="358">
        <f t="shared" si="6"/>
        <v>0</v>
      </c>
      <c r="BR36" s="358">
        <f t="shared" si="7"/>
        <v>0</v>
      </c>
      <c r="BS36" s="358">
        <f t="shared" si="8"/>
        <v>0</v>
      </c>
      <c r="BT36" s="358">
        <f t="shared" si="9"/>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23</v>
      </c>
      <c r="B37" s="72" t="str">
        <f t="shared" si="0"/>
        <v>ti</v>
      </c>
      <c r="C37" s="73" t="s">
        <v>217</v>
      </c>
      <c r="D37" s="74" t="str">
        <f t="shared" si="1"/>
        <v/>
      </c>
      <c r="E37" s="858"/>
      <c r="F37" s="859"/>
      <c r="G37" s="860"/>
      <c r="H37" s="175"/>
      <c r="I37" s="221"/>
      <c r="J37" s="221"/>
      <c r="K37" s="191">
        <f t="shared" si="15"/>
        <v>0</v>
      </c>
      <c r="L37" s="191">
        <f t="shared" si="16"/>
        <v>0</v>
      </c>
      <c r="M37" s="238"/>
      <c r="N37" s="357"/>
      <c r="O37" s="408"/>
      <c r="P37" s="195"/>
      <c r="Q37" s="196"/>
      <c r="R37" s="196"/>
      <c r="S37" s="192"/>
      <c r="T37" s="255"/>
      <c r="U37" s="193"/>
      <c r="V37">
        <f t="shared" si="17"/>
        <v>0</v>
      </c>
      <c r="W37">
        <f t="shared" si="2"/>
        <v>0</v>
      </c>
      <c r="X37" s="358">
        <f t="shared" si="18"/>
        <v>0</v>
      </c>
      <c r="Y37" s="358">
        <f t="shared" si="19"/>
        <v>0</v>
      </c>
      <c r="Z37" s="358">
        <f t="shared" si="3"/>
        <v>0</v>
      </c>
      <c r="AA37" s="358">
        <f t="shared" si="20"/>
        <v>0</v>
      </c>
      <c r="AB37" s="358">
        <f t="shared" si="21"/>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2"/>
        <v>0</v>
      </c>
      <c r="BO37" s="125">
        <f t="shared" si="4"/>
        <v>0</v>
      </c>
      <c r="BP37" s="358">
        <f t="shared" si="5"/>
        <v>0</v>
      </c>
      <c r="BQ37" s="358">
        <f t="shared" si="6"/>
        <v>0</v>
      </c>
      <c r="BR37" s="358">
        <f t="shared" si="7"/>
        <v>0</v>
      </c>
      <c r="BS37" s="358">
        <f t="shared" si="8"/>
        <v>0</v>
      </c>
      <c r="BT37" s="358">
        <f t="shared" si="9"/>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 t="shared" si="14"/>
        <v>24</v>
      </c>
      <c r="B38" s="72" t="str">
        <f t="shared" si="0"/>
        <v>on</v>
      </c>
      <c r="C38" s="73" t="s">
        <v>217</v>
      </c>
      <c r="D38" s="74" t="str">
        <f t="shared" si="1"/>
        <v/>
      </c>
      <c r="E38" s="861"/>
      <c r="F38" s="862"/>
      <c r="G38" s="863"/>
      <c r="H38" s="175"/>
      <c r="I38" s="221"/>
      <c r="J38" s="221"/>
      <c r="K38" s="191">
        <f t="shared" si="15"/>
        <v>0</v>
      </c>
      <c r="L38" s="191">
        <f t="shared" si="16"/>
        <v>0</v>
      </c>
      <c r="M38" s="238"/>
      <c r="N38" s="357"/>
      <c r="O38" s="408"/>
      <c r="P38" s="195"/>
      <c r="Q38" s="196"/>
      <c r="R38" s="196"/>
      <c r="S38" s="192"/>
      <c r="T38" s="255"/>
      <c r="U38" s="193"/>
      <c r="V38">
        <f t="shared" si="17"/>
        <v>0</v>
      </c>
      <c r="W38">
        <f t="shared" si="2"/>
        <v>0</v>
      </c>
      <c r="X38" s="358">
        <f t="shared" si="18"/>
        <v>0</v>
      </c>
      <c r="Y38" s="358">
        <f t="shared" si="19"/>
        <v>0</v>
      </c>
      <c r="Z38" s="358">
        <f t="shared" si="3"/>
        <v>0</v>
      </c>
      <c r="AA38" s="358">
        <f t="shared" si="20"/>
        <v>0</v>
      </c>
      <c r="AB38" s="358">
        <f t="shared" si="21"/>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2"/>
        <v>0</v>
      </c>
      <c r="BO38" s="125">
        <f t="shared" si="4"/>
        <v>0</v>
      </c>
      <c r="BP38" s="358">
        <f t="shared" si="5"/>
        <v>0</v>
      </c>
      <c r="BQ38" s="358">
        <f t="shared" si="6"/>
        <v>0</v>
      </c>
      <c r="BR38" s="358">
        <f t="shared" si="7"/>
        <v>0</v>
      </c>
      <c r="BS38" s="358">
        <f t="shared" si="8"/>
        <v>0</v>
      </c>
      <c r="BT38" s="358">
        <f t="shared" si="9"/>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25</v>
      </c>
      <c r="B39" s="72" t="str">
        <f t="shared" si="0"/>
        <v>to</v>
      </c>
      <c r="C39" s="73" t="s">
        <v>217</v>
      </c>
      <c r="D39" s="74" t="str">
        <f t="shared" si="1"/>
        <v/>
      </c>
      <c r="E39" s="858"/>
      <c r="F39" s="859"/>
      <c r="G39" s="860"/>
      <c r="H39" s="175"/>
      <c r="I39" s="221"/>
      <c r="J39" s="221"/>
      <c r="K39" s="191">
        <f t="shared" si="15"/>
        <v>0</v>
      </c>
      <c r="L39" s="191">
        <f t="shared" si="16"/>
        <v>0</v>
      </c>
      <c r="M39" s="238"/>
      <c r="N39" s="357"/>
      <c r="O39" s="408"/>
      <c r="P39" s="195"/>
      <c r="Q39" s="196"/>
      <c r="R39" s="196"/>
      <c r="S39" s="192"/>
      <c r="T39" s="255"/>
      <c r="U39" s="193"/>
      <c r="V39">
        <f t="shared" si="17"/>
        <v>0</v>
      </c>
      <c r="W39">
        <f t="shared" si="2"/>
        <v>0</v>
      </c>
      <c r="X39" s="358">
        <f t="shared" si="18"/>
        <v>0</v>
      </c>
      <c r="Y39" s="358">
        <f t="shared" si="19"/>
        <v>0</v>
      </c>
      <c r="Z39" s="358">
        <f t="shared" si="3"/>
        <v>0</v>
      </c>
      <c r="AA39" s="358">
        <f t="shared" si="20"/>
        <v>0</v>
      </c>
      <c r="AB39" s="358">
        <f t="shared" si="21"/>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2"/>
        <v>0</v>
      </c>
      <c r="BO39" s="125">
        <f t="shared" si="4"/>
        <v>0</v>
      </c>
      <c r="BP39" s="358">
        <f t="shared" si="5"/>
        <v>0</v>
      </c>
      <c r="BQ39" s="358">
        <f t="shared" si="6"/>
        <v>0</v>
      </c>
      <c r="BR39" s="358">
        <f t="shared" si="7"/>
        <v>0</v>
      </c>
      <c r="BS39" s="358">
        <f t="shared" si="8"/>
        <v>0</v>
      </c>
      <c r="BT39" s="358">
        <f t="shared" si="9"/>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 t="shared" si="14"/>
        <v>26</v>
      </c>
      <c r="B40" s="72" t="str">
        <f t="shared" si="0"/>
        <v>fr</v>
      </c>
      <c r="C40" s="73" t="s">
        <v>217</v>
      </c>
      <c r="D40" s="74" t="str">
        <f t="shared" si="1"/>
        <v/>
      </c>
      <c r="E40" s="858"/>
      <c r="F40" s="859"/>
      <c r="G40" s="860"/>
      <c r="H40" s="175"/>
      <c r="I40" s="221"/>
      <c r="J40" s="221"/>
      <c r="K40" s="191">
        <f t="shared" si="15"/>
        <v>0</v>
      </c>
      <c r="L40" s="191">
        <f t="shared" si="16"/>
        <v>0</v>
      </c>
      <c r="M40" s="238"/>
      <c r="N40" s="357"/>
      <c r="O40" s="408"/>
      <c r="P40" s="195"/>
      <c r="Q40" s="196"/>
      <c r="R40" s="196"/>
      <c r="S40" s="192"/>
      <c r="T40" s="255"/>
      <c r="U40" s="193"/>
      <c r="V40">
        <f t="shared" si="17"/>
        <v>0</v>
      </c>
      <c r="W40">
        <f t="shared" si="2"/>
        <v>0</v>
      </c>
      <c r="X40" s="358">
        <f t="shared" si="18"/>
        <v>0</v>
      </c>
      <c r="Y40" s="358">
        <f t="shared" si="19"/>
        <v>0</v>
      </c>
      <c r="Z40" s="358">
        <f t="shared" si="3"/>
        <v>0</v>
      </c>
      <c r="AA40" s="358">
        <f t="shared" si="20"/>
        <v>0</v>
      </c>
      <c r="AB40" s="358">
        <f t="shared" si="21"/>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2"/>
        <v>0</v>
      </c>
      <c r="BO40" s="125">
        <f t="shared" si="4"/>
        <v>0</v>
      </c>
      <c r="BP40" s="358">
        <f t="shared" si="5"/>
        <v>0</v>
      </c>
      <c r="BQ40" s="358">
        <f t="shared" si="6"/>
        <v>0</v>
      </c>
      <c r="BR40" s="358">
        <f t="shared" si="7"/>
        <v>0</v>
      </c>
      <c r="BS40" s="358">
        <f t="shared" si="8"/>
        <v>0</v>
      </c>
      <c r="BT40" s="358">
        <f t="shared" si="9"/>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10"/>
        <v/>
      </c>
      <c r="DG40">
        <f t="shared" si="11"/>
        <v>0</v>
      </c>
      <c r="DH40">
        <f t="shared" si="12"/>
        <v>0</v>
      </c>
      <c r="DI40" t="str">
        <f t="shared" si="13"/>
        <v/>
      </c>
      <c r="DJ40" t="str">
        <f t="shared" si="13"/>
        <v/>
      </c>
      <c r="DK40" t="str">
        <f t="shared" si="13"/>
        <v/>
      </c>
      <c r="DL40" t="str">
        <f t="shared" si="24"/>
        <v/>
      </c>
    </row>
    <row r="41" spans="1:116">
      <c r="A41" s="135">
        <f t="shared" si="14"/>
        <v>27</v>
      </c>
      <c r="B41" s="72" t="str">
        <f t="shared" si="0"/>
        <v>lø</v>
      </c>
      <c r="C41" s="73" t="s">
        <v>77</v>
      </c>
      <c r="D41" s="74" t="str">
        <f t="shared" si="1"/>
        <v/>
      </c>
      <c r="E41" s="858"/>
      <c r="F41" s="859"/>
      <c r="G41" s="860"/>
      <c r="H41" s="175"/>
      <c r="I41" s="221"/>
      <c r="J41" s="221"/>
      <c r="K41" s="191">
        <f t="shared" si="15"/>
        <v>0</v>
      </c>
      <c r="L41" s="191">
        <f t="shared" si="16"/>
        <v>0</v>
      </c>
      <c r="M41" s="238"/>
      <c r="N41" s="357"/>
      <c r="O41" s="408"/>
      <c r="P41" s="195"/>
      <c r="Q41" s="196"/>
      <c r="R41" s="196"/>
      <c r="S41" s="192"/>
      <c r="T41" s="255"/>
      <c r="U41" s="193"/>
      <c r="V41">
        <f t="shared" si="17"/>
        <v>0</v>
      </c>
      <c r="W41">
        <f t="shared" si="2"/>
        <v>0</v>
      </c>
      <c r="X41" s="358">
        <f t="shared" si="18"/>
        <v>0</v>
      </c>
      <c r="Y41" s="358">
        <f t="shared" si="19"/>
        <v>0</v>
      </c>
      <c r="Z41" s="358">
        <f t="shared" si="3"/>
        <v>0</v>
      </c>
      <c r="AA41" s="358">
        <f t="shared" si="20"/>
        <v>0</v>
      </c>
      <c r="AB41" s="358">
        <f t="shared" si="21"/>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2"/>
        <v>0</v>
      </c>
      <c r="BO41" s="125">
        <f t="shared" si="4"/>
        <v>0</v>
      </c>
      <c r="BP41" s="358">
        <f t="shared" si="5"/>
        <v>0</v>
      </c>
      <c r="BQ41" s="358">
        <f t="shared" si="6"/>
        <v>0</v>
      </c>
      <c r="BR41" s="358">
        <f t="shared" si="7"/>
        <v>0</v>
      </c>
      <c r="BS41" s="358">
        <f t="shared" si="8"/>
        <v>0</v>
      </c>
      <c r="BT41" s="358">
        <f t="shared" si="9"/>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10"/>
        <v/>
      </c>
      <c r="DG41">
        <f t="shared" si="11"/>
        <v>0</v>
      </c>
      <c r="DH41">
        <f t="shared" si="12"/>
        <v>0</v>
      </c>
      <c r="DI41" t="str">
        <f t="shared" si="13"/>
        <v/>
      </c>
      <c r="DJ41" t="str">
        <f t="shared" si="13"/>
        <v/>
      </c>
      <c r="DK41" t="str">
        <f t="shared" si="13"/>
        <v/>
      </c>
      <c r="DL41" t="str">
        <f t="shared" si="24"/>
        <v/>
      </c>
    </row>
    <row r="42" spans="1:116">
      <c r="A42" s="135">
        <f t="shared" si="14"/>
        <v>28</v>
      </c>
      <c r="B42" s="72" t="str">
        <f t="shared" si="0"/>
        <v>sø</v>
      </c>
      <c r="C42" s="73" t="s">
        <v>77</v>
      </c>
      <c r="D42" s="74" t="str">
        <f t="shared" si="1"/>
        <v/>
      </c>
      <c r="E42" s="858"/>
      <c r="F42" s="859"/>
      <c r="G42" s="860"/>
      <c r="H42" s="175"/>
      <c r="I42" s="221"/>
      <c r="J42" s="221"/>
      <c r="K42" s="191">
        <f t="shared" si="15"/>
        <v>0</v>
      </c>
      <c r="L42" s="191">
        <f t="shared" si="16"/>
        <v>0</v>
      </c>
      <c r="M42" s="238"/>
      <c r="N42" s="357"/>
      <c r="O42" s="408"/>
      <c r="P42" s="195"/>
      <c r="Q42" s="196"/>
      <c r="R42" s="196"/>
      <c r="S42" s="192"/>
      <c r="T42" s="255"/>
      <c r="U42" s="193"/>
      <c r="V42">
        <f t="shared" si="17"/>
        <v>0</v>
      </c>
      <c r="W42">
        <f t="shared" si="2"/>
        <v>0</v>
      </c>
      <c r="X42" s="358">
        <f t="shared" si="18"/>
        <v>0</v>
      </c>
      <c r="Y42" s="358">
        <f t="shared" si="19"/>
        <v>0</v>
      </c>
      <c r="Z42" s="358">
        <f t="shared" si="3"/>
        <v>0</v>
      </c>
      <c r="AA42" s="358">
        <f t="shared" si="20"/>
        <v>0</v>
      </c>
      <c r="AB42" s="358">
        <f t="shared" si="21"/>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2"/>
        <v>0</v>
      </c>
      <c r="BO42" s="125">
        <f t="shared" si="4"/>
        <v>0</v>
      </c>
      <c r="BP42" s="358">
        <f t="shared" si="5"/>
        <v>0</v>
      </c>
      <c r="BQ42" s="358">
        <f t="shared" si="6"/>
        <v>0</v>
      </c>
      <c r="BR42" s="358">
        <f t="shared" si="7"/>
        <v>0</v>
      </c>
      <c r="BS42" s="358">
        <f t="shared" si="8"/>
        <v>0</v>
      </c>
      <c r="BT42" s="358">
        <f t="shared" si="9"/>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10"/>
        <v/>
      </c>
      <c r="DG42">
        <f t="shared" si="11"/>
        <v>0</v>
      </c>
      <c r="DH42">
        <f t="shared" si="12"/>
        <v>0</v>
      </c>
      <c r="DI42" t="str">
        <f t="shared" si="13"/>
        <v/>
      </c>
      <c r="DJ42" t="str">
        <f t="shared" si="13"/>
        <v/>
      </c>
      <c r="DK42" t="str">
        <f t="shared" si="13"/>
        <v/>
      </c>
      <c r="DL42" t="str">
        <f t="shared" si="24"/>
        <v/>
      </c>
    </row>
    <row r="43" spans="1:116">
      <c r="A43" s="135">
        <f>IF(ISNUMBER(A42),A42+1,1)</f>
        <v>29</v>
      </c>
      <c r="B43" s="72" t="str">
        <f t="shared" si="0"/>
        <v>ma</v>
      </c>
      <c r="C43" s="73" t="s">
        <v>217</v>
      </c>
      <c r="D43" s="74">
        <f t="shared" si="1"/>
        <v>26.571428571428573</v>
      </c>
      <c r="E43" s="858"/>
      <c r="F43" s="859"/>
      <c r="G43" s="860"/>
      <c r="H43" s="175"/>
      <c r="I43" s="221"/>
      <c r="J43" s="221"/>
      <c r="K43" s="191">
        <f t="shared" si="15"/>
        <v>0</v>
      </c>
      <c r="L43" s="191">
        <f t="shared" si="16"/>
        <v>0</v>
      </c>
      <c r="M43" s="238"/>
      <c r="N43" s="357"/>
      <c r="O43" s="408"/>
      <c r="P43" s="195"/>
      <c r="Q43" s="196"/>
      <c r="R43" s="196"/>
      <c r="S43" s="192"/>
      <c r="T43" s="255"/>
      <c r="U43" s="193"/>
      <c r="V43">
        <f t="shared" si="17"/>
        <v>0</v>
      </c>
      <c r="W43">
        <f t="shared" si="2"/>
        <v>0</v>
      </c>
      <c r="X43" s="358">
        <f t="shared" si="18"/>
        <v>0</v>
      </c>
      <c r="Y43" s="358">
        <f t="shared" si="19"/>
        <v>0</v>
      </c>
      <c r="Z43" s="358">
        <f t="shared" si="3"/>
        <v>0</v>
      </c>
      <c r="AA43" s="358">
        <f t="shared" si="20"/>
        <v>0</v>
      </c>
      <c r="AB43" s="358">
        <f t="shared" si="21"/>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2"/>
        <v>0</v>
      </c>
      <c r="BO43" s="125">
        <f t="shared" si="4"/>
        <v>0</v>
      </c>
      <c r="BP43" s="358">
        <f t="shared" si="5"/>
        <v>0</v>
      </c>
      <c r="BQ43" s="358">
        <f t="shared" si="6"/>
        <v>0</v>
      </c>
      <c r="BR43" s="358">
        <f t="shared" si="7"/>
        <v>0</v>
      </c>
      <c r="BS43" s="358">
        <f t="shared" si="8"/>
        <v>0</v>
      </c>
      <c r="BT43" s="358">
        <f t="shared" si="9"/>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10"/>
        <v/>
      </c>
      <c r="DG43">
        <f t="shared" si="11"/>
        <v>0</v>
      </c>
      <c r="DH43">
        <f t="shared" si="12"/>
        <v>0</v>
      </c>
      <c r="DI43" t="str">
        <f t="shared" si="13"/>
        <v/>
      </c>
      <c r="DJ43" t="str">
        <f t="shared" si="13"/>
        <v/>
      </c>
      <c r="DK43" t="str">
        <f t="shared" si="13"/>
        <v/>
      </c>
      <c r="DL43" t="str">
        <f t="shared" si="24"/>
        <v/>
      </c>
    </row>
    <row r="44" spans="1:116">
      <c r="A44" s="135">
        <f t="shared" si="14"/>
        <v>30</v>
      </c>
      <c r="B44" s="72" t="str">
        <f t="shared" si="0"/>
        <v>ti</v>
      </c>
      <c r="C44" s="73" t="s">
        <v>217</v>
      </c>
      <c r="D44" s="74" t="str">
        <f t="shared" si="1"/>
        <v/>
      </c>
      <c r="E44" s="858"/>
      <c r="F44" s="859"/>
      <c r="G44" s="860"/>
      <c r="H44" s="175"/>
      <c r="I44" s="221"/>
      <c r="J44" s="221"/>
      <c r="K44" s="191">
        <f t="shared" si="15"/>
        <v>0</v>
      </c>
      <c r="L44" s="191">
        <f t="shared" si="16"/>
        <v>0</v>
      </c>
      <c r="M44" s="238"/>
      <c r="N44" s="357"/>
      <c r="O44" s="408"/>
      <c r="P44" s="195"/>
      <c r="Q44" s="196"/>
      <c r="R44" s="254"/>
      <c r="S44" s="192"/>
      <c r="T44" s="255"/>
      <c r="U44" s="193"/>
      <c r="V44">
        <f t="shared" si="17"/>
        <v>0</v>
      </c>
      <c r="W44">
        <f t="shared" si="2"/>
        <v>0</v>
      </c>
      <c r="X44" s="358">
        <f t="shared" si="18"/>
        <v>0</v>
      </c>
      <c r="Y44" s="358">
        <f t="shared" si="19"/>
        <v>0</v>
      </c>
      <c r="Z44" s="358">
        <f t="shared" si="3"/>
        <v>0</v>
      </c>
      <c r="AA44" s="358">
        <f t="shared" si="20"/>
        <v>0</v>
      </c>
      <c r="AB44" s="358">
        <f t="shared" si="21"/>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2"/>
        <v>0</v>
      </c>
      <c r="BO44" s="125">
        <f t="shared" si="4"/>
        <v>0</v>
      </c>
      <c r="BP44" s="358">
        <f t="shared" si="5"/>
        <v>0</v>
      </c>
      <c r="BQ44" s="358">
        <f t="shared" si="6"/>
        <v>0</v>
      </c>
      <c r="BR44" s="358">
        <f t="shared" si="7"/>
        <v>0</v>
      </c>
      <c r="BS44" s="358">
        <f t="shared" si="8"/>
        <v>0</v>
      </c>
      <c r="BT44" s="358">
        <f t="shared" si="9"/>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10"/>
        <v/>
      </c>
      <c r="DG44">
        <f t="shared" si="11"/>
        <v>0</v>
      </c>
      <c r="DH44">
        <f t="shared" si="12"/>
        <v>0</v>
      </c>
      <c r="DI44" t="str">
        <f t="shared" si="13"/>
        <v/>
      </c>
      <c r="DJ44" t="str">
        <f t="shared" si="13"/>
        <v/>
      </c>
      <c r="DK44" t="str">
        <f t="shared" si="13"/>
        <v/>
      </c>
      <c r="DL44" t="str">
        <f t="shared" si="24"/>
        <v/>
      </c>
    </row>
    <row r="45" spans="1:116" ht="17" thickBot="1">
      <c r="A45" s="368" t="s">
        <v>127</v>
      </c>
      <c r="B45" s="369"/>
      <c r="C45" s="369"/>
      <c r="D45" s="369"/>
      <c r="E45" s="369"/>
      <c r="F45" s="369"/>
      <c r="G45" s="369"/>
      <c r="H45" s="369"/>
      <c r="I45" s="194"/>
      <c r="J45" s="194"/>
      <c r="K45" s="194">
        <f>SUM(K15:K44)</f>
        <v>0</v>
      </c>
      <c r="L45" s="194">
        <f>SUM(L15:L44)</f>
        <v>0</v>
      </c>
      <c r="M45"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f>
        <v>0</v>
      </c>
      <c r="N45" s="411"/>
      <c r="O45" s="412">
        <f>SUM(O15:O44)</f>
        <v>0</v>
      </c>
      <c r="P45" s="249"/>
      <c r="Q45" s="250"/>
      <c r="R45" s="250"/>
      <c r="S45"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f>
        <v>0</v>
      </c>
      <c r="T45"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f>
        <v>0</v>
      </c>
      <c r="U45"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f>
        <v>0</v>
      </c>
      <c r="V45" s="115">
        <f>SUM(V15:V44)</f>
        <v>0</v>
      </c>
      <c r="W45" s="228">
        <f>W15+W16+W17+W18+W19+W20+W21+W22+W23+W24+W25+W26+W27+W28+W29+W30+W31+W32+W33+W34+W35+W36+W37+W38+W39+W40+W41+W42+W43+W44</f>
        <v>0</v>
      </c>
      <c r="X45" s="129">
        <f t="shared" ref="X45:AC45" si="25">SUM(X15:X44)</f>
        <v>0</v>
      </c>
      <c r="Y45" s="129">
        <f t="shared" si="25"/>
        <v>0</v>
      </c>
      <c r="Z45" s="129">
        <f t="shared" si="25"/>
        <v>0</v>
      </c>
      <c r="AA45" s="129">
        <f t="shared" si="25"/>
        <v>0</v>
      </c>
      <c r="AB45" s="129">
        <f t="shared" si="25"/>
        <v>0</v>
      </c>
      <c r="AC45" s="129">
        <f t="shared" si="25"/>
        <v>0</v>
      </c>
      <c r="AD45">
        <f t="shared" ref="AD45:AI45" si="26">COUNTIF(AD14:AD44,"&gt;0")</f>
        <v>0</v>
      </c>
      <c r="AE45">
        <f t="shared" si="26"/>
        <v>0</v>
      </c>
      <c r="AF45">
        <f t="shared" si="26"/>
        <v>0</v>
      </c>
      <c r="AG45">
        <f t="shared" si="26"/>
        <v>0</v>
      </c>
      <c r="AH45">
        <f t="shared" si="26"/>
        <v>0</v>
      </c>
      <c r="AI45">
        <f t="shared" si="26"/>
        <v>0</v>
      </c>
      <c r="AJ45">
        <f>COUNTIF(AJ14:AJ44,"&gt;0")</f>
        <v>0</v>
      </c>
      <c r="AK45">
        <f t="shared" ref="AK45:BC45" si="27">COUNTIF(AK14:AK44,"&gt;0")</f>
        <v>0</v>
      </c>
      <c r="AL45">
        <f t="shared" si="27"/>
        <v>0</v>
      </c>
      <c r="AM45">
        <f t="shared" si="27"/>
        <v>0</v>
      </c>
      <c r="AN45">
        <f t="shared" si="27"/>
        <v>0</v>
      </c>
      <c r="AO45">
        <f t="shared" si="27"/>
        <v>0</v>
      </c>
      <c r="AP45">
        <f t="shared" si="27"/>
        <v>0</v>
      </c>
      <c r="AQ45">
        <f t="shared" si="27"/>
        <v>0</v>
      </c>
      <c r="AR45">
        <f t="shared" si="27"/>
        <v>0</v>
      </c>
      <c r="AS45">
        <f t="shared" si="27"/>
        <v>0</v>
      </c>
      <c r="AT45">
        <f t="shared" si="27"/>
        <v>0</v>
      </c>
      <c r="AU45">
        <f t="shared" si="27"/>
        <v>0</v>
      </c>
      <c r="AV45">
        <f t="shared" si="27"/>
        <v>0</v>
      </c>
      <c r="AW45">
        <f t="shared" si="27"/>
        <v>0</v>
      </c>
      <c r="AX45">
        <f t="shared" si="27"/>
        <v>0</v>
      </c>
      <c r="AY45">
        <f t="shared" si="27"/>
        <v>0</v>
      </c>
      <c r="AZ45">
        <f t="shared" si="27"/>
        <v>0</v>
      </c>
      <c r="BA45">
        <f t="shared" si="27"/>
        <v>0</v>
      </c>
      <c r="BB45">
        <f t="shared" si="27"/>
        <v>0</v>
      </c>
      <c r="BC45">
        <f t="shared" si="27"/>
        <v>0</v>
      </c>
      <c r="BD45">
        <f t="shared" ref="BD45:BM45" si="28">COUNTIF(BD15:BD44,"&gt;0")</f>
        <v>0</v>
      </c>
      <c r="BE45">
        <f t="shared" si="28"/>
        <v>0</v>
      </c>
      <c r="BF45">
        <f t="shared" si="28"/>
        <v>0</v>
      </c>
      <c r="BG45">
        <f t="shared" si="28"/>
        <v>0</v>
      </c>
      <c r="BH45">
        <f t="shared" si="28"/>
        <v>0</v>
      </c>
      <c r="BI45">
        <f t="shared" si="28"/>
        <v>0</v>
      </c>
      <c r="BJ45">
        <f t="shared" si="28"/>
        <v>0</v>
      </c>
      <c r="BK45">
        <f t="shared" si="28"/>
        <v>0</v>
      </c>
      <c r="BL45">
        <f t="shared" si="28"/>
        <v>0</v>
      </c>
      <c r="BM45">
        <f t="shared" si="28"/>
        <v>0</v>
      </c>
      <c r="BN45" s="1">
        <f>SUM(BN15:BN44)</f>
        <v>0</v>
      </c>
      <c r="BO45" s="62"/>
      <c r="BP45" s="129">
        <f>SUM(BP15:BP44)</f>
        <v>0</v>
      </c>
      <c r="BQ45" s="129">
        <f>SUM(BQ15:BQ44)</f>
        <v>0</v>
      </c>
      <c r="BR45" s="129">
        <f>SUM(BR15:BR44)</f>
        <v>0</v>
      </c>
      <c r="BS45" s="129">
        <f>SUM(BS15:BS44)</f>
        <v>0</v>
      </c>
      <c r="BT45" s="129">
        <f>SUM(BT15:BT44)</f>
        <v>0</v>
      </c>
      <c r="BU45" s="129"/>
      <c r="BV45" s="129"/>
      <c r="BW45" s="129"/>
      <c r="BX45" s="129"/>
      <c r="BY45" s="129"/>
      <c r="BZ45" s="129"/>
      <c r="CA45">
        <f t="shared" ref="CA45:DD45" si="29">COUNTIF(CA14:CA44,"&gt;0")</f>
        <v>0</v>
      </c>
      <c r="CB45">
        <f t="shared" si="29"/>
        <v>0</v>
      </c>
      <c r="CC45">
        <f t="shared" si="29"/>
        <v>0</v>
      </c>
      <c r="CD45">
        <f t="shared" si="29"/>
        <v>0</v>
      </c>
      <c r="CE45">
        <f t="shared" si="29"/>
        <v>0</v>
      </c>
      <c r="CF45">
        <f t="shared" si="29"/>
        <v>0</v>
      </c>
      <c r="CG45">
        <f t="shared" si="29"/>
        <v>0</v>
      </c>
      <c r="CH45">
        <f t="shared" si="29"/>
        <v>0</v>
      </c>
      <c r="CI45">
        <f t="shared" si="29"/>
        <v>0</v>
      </c>
      <c r="CJ45">
        <f t="shared" si="29"/>
        <v>0</v>
      </c>
      <c r="CK45">
        <f t="shared" si="29"/>
        <v>0</v>
      </c>
      <c r="CL45">
        <f t="shared" si="29"/>
        <v>0</v>
      </c>
      <c r="CM45">
        <f t="shared" si="29"/>
        <v>0</v>
      </c>
      <c r="CN45">
        <f t="shared" si="29"/>
        <v>0</v>
      </c>
      <c r="CO45">
        <f t="shared" si="29"/>
        <v>0</v>
      </c>
      <c r="CP45">
        <f t="shared" si="29"/>
        <v>0</v>
      </c>
      <c r="CQ45">
        <f t="shared" si="29"/>
        <v>0</v>
      </c>
      <c r="CR45">
        <f t="shared" si="29"/>
        <v>0</v>
      </c>
      <c r="CS45">
        <f t="shared" si="29"/>
        <v>0</v>
      </c>
      <c r="CT45">
        <f t="shared" si="29"/>
        <v>0</v>
      </c>
      <c r="CU45">
        <f t="shared" si="29"/>
        <v>0</v>
      </c>
      <c r="CV45">
        <f t="shared" si="29"/>
        <v>0</v>
      </c>
      <c r="CW45">
        <f t="shared" si="29"/>
        <v>0</v>
      </c>
      <c r="CX45">
        <f t="shared" si="29"/>
        <v>0</v>
      </c>
      <c r="CY45">
        <f t="shared" si="29"/>
        <v>0</v>
      </c>
      <c r="CZ45">
        <f t="shared" si="29"/>
        <v>0</v>
      </c>
      <c r="DA45">
        <f t="shared" si="29"/>
        <v>0</v>
      </c>
      <c r="DB45">
        <f t="shared" si="29"/>
        <v>0</v>
      </c>
      <c r="DC45">
        <f t="shared" si="29"/>
        <v>0</v>
      </c>
      <c r="DD45">
        <f t="shared" si="29"/>
        <v>0</v>
      </c>
      <c r="DE45" s="129">
        <f>SUM(DE15:DE44)</f>
        <v>0</v>
      </c>
      <c r="DJ45" t="str">
        <f t="shared" si="13"/>
        <v/>
      </c>
      <c r="DK45" t="str">
        <f t="shared" si="13"/>
        <v/>
      </c>
      <c r="DL45" t="str">
        <f t="shared" ref="DL45" si="30">DI45&amp;" "&amp;DJ45&amp;" "&amp;DK45</f>
        <v xml:space="preserve">  </v>
      </c>
    </row>
    <row r="46" spans="1:116" ht="17" thickBot="1">
      <c r="A46" s="128"/>
      <c r="B46" s="128"/>
      <c r="C46" s="128"/>
      <c r="D46" s="128"/>
      <c r="E46" s="128"/>
      <c r="F46" s="128"/>
      <c r="G46" s="128"/>
      <c r="H46" s="128"/>
      <c r="I46" s="128"/>
      <c r="J46" s="128"/>
      <c r="K46" s="130"/>
      <c r="L46" s="130"/>
      <c r="M46" s="130"/>
      <c r="N46" s="257"/>
      <c r="O46" s="257"/>
      <c r="P46" s="130"/>
      <c r="Q46" s="130"/>
      <c r="R46" s="130"/>
      <c r="S46" s="130"/>
      <c r="T46" s="130"/>
      <c r="U46" s="130"/>
      <c r="V46" s="130"/>
      <c r="W46" s="130"/>
      <c r="X46" s="130"/>
      <c r="Y46" s="130"/>
      <c r="Z46" s="257"/>
      <c r="AA46" s="137"/>
      <c r="AB46" s="115"/>
      <c r="AC46" s="129"/>
      <c r="AD46" s="115"/>
      <c r="AE46" s="115"/>
      <c r="AF46" s="129"/>
      <c r="AG46" s="129"/>
      <c r="AH46" s="129"/>
      <c r="AI46" s="129"/>
      <c r="AJ46" s="129"/>
      <c r="AK46" s="129"/>
      <c r="AL46" s="129"/>
      <c r="AM46" s="129"/>
      <c r="AN46" s="129"/>
      <c r="AO46" s="129"/>
      <c r="BR46" s="257"/>
      <c r="BS46" s="137"/>
      <c r="BT46" s="137"/>
      <c r="BU46" s="129"/>
      <c r="BV46" s="115"/>
      <c r="BW46" s="129"/>
      <c r="BX46" s="129"/>
      <c r="BY46" s="129"/>
      <c r="BZ46" s="129"/>
      <c r="CA46" s="129">
        <f t="shared" ref="CA46:CC46" si="31">IF(OR(CA15&gt;0,AJ15&gt;0),1,0)+IF(OR(CA16&gt;0,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f>
        <v>0</v>
      </c>
      <c r="CB46" s="129">
        <f t="shared" si="31"/>
        <v>0</v>
      </c>
      <c r="CC46" s="129">
        <f t="shared" si="31"/>
        <v>0</v>
      </c>
      <c r="CD46" s="129">
        <f>IF(OR(CD15&gt;0,AM15&gt;0),1,0)+IF(OR(CD16&gt;0,AM16&gt;0),1,0)+IF(OR(CD17&gt;0,AM17&gt;0),1,0)+IF(OR(CD18&gt;0,AM18&gt;0),1,0)+IF(OR(CD19&gt;0,AM19&gt;0),1,0)+IF(OR(CD20&gt;0,AM20&gt;0),1,0)+IF(OR(CD21&gt;0,AM21&gt;0),1,0)+IF(OR(CD22&gt;0,AM22&gt;0),1,0)+IF(OR(CD23&gt;0,AM23&gt;0),1,0)+IF(OR(CD24&gt;0,AM24&gt;0),1,0)+IF(OR(CD25&gt;0,AM25&gt;0),1,0)+IF(OR(CD26&gt;0,AM26&gt;0),1,0)+IF(OR(CD27&gt;0,AM27&gt;0),1,0)+IF(OR(CD28&gt;0,AM28&gt;0),1,0)+IF(OR(CD29&gt;0,AM29&gt;0),1,0)+IF(OR(CD30&gt;0,AM30&gt;0),1,0)+IF(OR(CD31&gt;0,AM31&gt;0),1,0)+IF(OR(CD32&gt;0,AM32&gt;0),1,0)+IF(OR(CD33&gt;0,AM33&gt;0),1,0)+IF(OR(CD34&gt;0,AM34&gt;0),1,0)+IF(OR(CD35&gt;0,AM35&gt;0),1,0)+IF(OR(CD36&gt;0,AM36&gt;0),1,0)+IF(OR(CD37&gt;0,AM37&gt;0),1,0)+IF(OR(CD38&gt;0,AM38&gt;0),1,0)+IF(OR(CD39&gt;0,AM39&gt;0),1,0)+IF(OR(CD40&gt;0,AM40&gt;0),1,0)+IF(OR(CD41&gt;0,AM41&gt;0),1,0)+IF(OR(CD42&gt;0,AM42&gt;0),1,0)+IF(OR(CD43&gt;0,AM43&gt;0),1,0)+IF(OR(CD44&gt;0,AM44&gt;0),1,0)</f>
        <v>0</v>
      </c>
      <c r="CE46" s="129">
        <f t="shared" ref="CE46:DD46" si="32">IF(OR(CE15&gt;0,AN15&gt;0),1,0)+IF(OR(CE16&gt;0,AN16&gt;0),1,0)+IF(OR(CE17&gt;0,AN17&gt;0),1,0)+IF(OR(CE18&gt;0,AN18&gt;0),1,0)+IF(OR(CE19&gt;0,AN19&gt;0),1,0)+IF(OR(CE20&gt;0,AN20&gt;0),1,0)+IF(OR(CE21&gt;0,AN21&gt;0),1,0)+IF(OR(CE22&gt;0,AN22&gt;0),1,0)+IF(OR(CE23&gt;0,AN23&gt;0),1,0)+IF(OR(CE24&gt;0,AN24&gt;0),1,0)+IF(OR(CE25&gt;0,AN25&gt;0),1,0)+IF(OR(CE26&gt;0,AN26&gt;0),1,0)+IF(OR(CE27&gt;0,AN27&gt;0),1,0)+IF(OR(CE28&gt;0,AN28&gt;0),1,0)+IF(OR(CE29&gt;0,AN29&gt;0),1,0)+IF(OR(CE30&gt;0,AN30&gt;0),1,0)+IF(OR(CE31&gt;0,AN31&gt;0),1,0)+IF(OR(CE32&gt;0,AN32&gt;0),1,0)+IF(OR(CE33&gt;0,AN33&gt;0),1,0)+IF(OR(CE34&gt;0,AN34&gt;0),1,0)+IF(OR(CE35&gt;0,AN35&gt;0),1,0)+IF(OR(CE36&gt;0,AN36&gt;0),1,0)+IF(OR(CE37&gt;0,AN37&gt;0),1,0)+IF(OR(CE38&gt;0,AN38&gt;0),1,0)+IF(OR(CE39&gt;0,AN39&gt;0),1,0)+IF(OR(CE40&gt;0,AN40&gt;0),1,0)+IF(OR(CE41&gt;0,AN41&gt;0),1,0)+IF(OR(CE42&gt;0,AN42&gt;0),1,0)+IF(OR(CE43&gt;0,AN43&gt;0),1,0)+IF(OR(CE44&gt;0,AN44&gt;0),1,0)</f>
        <v>0</v>
      </c>
      <c r="CF46" s="129">
        <f t="shared" si="32"/>
        <v>0</v>
      </c>
      <c r="CG46" s="129">
        <f t="shared" si="32"/>
        <v>0</v>
      </c>
      <c r="CH46" s="129">
        <f t="shared" si="32"/>
        <v>0</v>
      </c>
      <c r="CI46" s="129">
        <f t="shared" si="32"/>
        <v>0</v>
      </c>
      <c r="CJ46" s="129">
        <f t="shared" si="32"/>
        <v>0</v>
      </c>
      <c r="CK46" s="129">
        <f t="shared" si="32"/>
        <v>0</v>
      </c>
      <c r="CL46" s="129">
        <f t="shared" si="32"/>
        <v>0</v>
      </c>
      <c r="CM46" s="129">
        <f t="shared" si="32"/>
        <v>0</v>
      </c>
      <c r="CN46" s="129">
        <f t="shared" si="32"/>
        <v>0</v>
      </c>
      <c r="CO46" s="129">
        <f t="shared" si="32"/>
        <v>0</v>
      </c>
      <c r="CP46" s="129">
        <f t="shared" si="32"/>
        <v>0</v>
      </c>
      <c r="CQ46" s="129">
        <f t="shared" si="32"/>
        <v>0</v>
      </c>
      <c r="CR46" s="129">
        <f t="shared" si="32"/>
        <v>0</v>
      </c>
      <c r="CS46" s="129">
        <f t="shared" si="32"/>
        <v>0</v>
      </c>
      <c r="CT46" s="129">
        <f t="shared" si="32"/>
        <v>0</v>
      </c>
      <c r="CU46" s="129">
        <f t="shared" si="32"/>
        <v>0</v>
      </c>
      <c r="CV46" s="129">
        <f t="shared" si="32"/>
        <v>0</v>
      </c>
      <c r="CW46" s="129">
        <f t="shared" si="32"/>
        <v>0</v>
      </c>
      <c r="CX46" s="129">
        <f t="shared" si="32"/>
        <v>0</v>
      </c>
      <c r="CY46" s="129">
        <f t="shared" si="32"/>
        <v>0</v>
      </c>
      <c r="CZ46" s="129">
        <f t="shared" si="32"/>
        <v>0</v>
      </c>
      <c r="DA46" s="129">
        <f t="shared" si="32"/>
        <v>0</v>
      </c>
      <c r="DB46" s="129">
        <f t="shared" si="32"/>
        <v>0</v>
      </c>
      <c r="DC46" s="129">
        <f t="shared" si="32"/>
        <v>0</v>
      </c>
      <c r="DD46" s="129">
        <f t="shared" si="32"/>
        <v>0</v>
      </c>
    </row>
    <row r="47" spans="1:116" ht="70" customHeight="1">
      <c r="A47" s="873" t="str">
        <f>"Arbejdstid for "&amp;A13&amp;" måned:"</f>
        <v>Arbejdstid for Juni måned:</v>
      </c>
      <c r="B47" s="874"/>
      <c r="C47" s="874"/>
      <c r="D47" s="874"/>
      <c r="E47" s="874"/>
      <c r="F47" s="874"/>
      <c r="G47" s="874"/>
      <c r="H47" s="201" t="s">
        <v>126</v>
      </c>
      <c r="I47" s="923" t="s">
        <v>115</v>
      </c>
      <c r="J47" s="924"/>
      <c r="K47" s="150"/>
      <c r="L47" s="966" t="s">
        <v>187</v>
      </c>
      <c r="M47" s="967"/>
      <c r="N47" s="967"/>
      <c r="O47" s="967"/>
      <c r="P47" s="967"/>
      <c r="Q47" s="967"/>
      <c r="R47" s="967"/>
      <c r="S47" s="968"/>
      <c r="T47" s="598" t="s">
        <v>361</v>
      </c>
      <c r="U47" s="373" t="s">
        <v>257</v>
      </c>
      <c r="V47" s="303"/>
      <c r="W47" s="117"/>
      <c r="X47" s="130"/>
      <c r="Y47" s="130"/>
      <c r="Z47" s="130"/>
      <c r="AA47"/>
      <c r="AB47"/>
      <c r="AK47" s="56"/>
      <c r="AL47" s="56"/>
      <c r="BO47" s="117"/>
      <c r="BP47" s="117"/>
      <c r="BQ47" s="130"/>
      <c r="BR47" s="130"/>
      <c r="BS47"/>
      <c r="BT47"/>
      <c r="CB47" s="56"/>
      <c r="CC47" s="56"/>
    </row>
    <row r="48" spans="1:116" ht="24" customHeight="1">
      <c r="A48" s="875" t="s">
        <v>270</v>
      </c>
      <c r="B48" s="876"/>
      <c r="C48" s="876"/>
      <c r="D48" s="876"/>
      <c r="E48" s="876"/>
      <c r="F48" s="876"/>
      <c r="G48" s="876"/>
      <c r="H48" s="145">
        <f>D82-D80-A92-D79</f>
        <v>22</v>
      </c>
      <c r="I48" s="852">
        <f>J65</f>
        <v>0</v>
      </c>
      <c r="J48" s="853"/>
      <c r="K48" s="147"/>
      <c r="L48" s="970"/>
      <c r="M48" s="971"/>
      <c r="N48" s="971"/>
      <c r="O48" s="971"/>
      <c r="P48" s="971"/>
      <c r="Q48" s="971"/>
      <c r="R48" s="971"/>
      <c r="S48" s="971"/>
      <c r="T48" s="392">
        <f>Maj!T57</f>
        <v>0</v>
      </c>
      <c r="U48" s="393">
        <f>Maj!U57</f>
        <v>0</v>
      </c>
      <c r="V48" s="303"/>
      <c r="W48" s="130"/>
      <c r="X48" s="130"/>
      <c r="Y48" s="130"/>
      <c r="Z48" s="130"/>
      <c r="AA48"/>
      <c r="AB48"/>
      <c r="AK48" s="56"/>
      <c r="AL48" s="56"/>
      <c r="BO48" s="130"/>
      <c r="BP48" s="130"/>
      <c r="BQ48" s="130"/>
      <c r="BR48" s="130"/>
      <c r="BS48"/>
      <c r="BT48"/>
      <c r="CB48" s="56"/>
      <c r="CC48" s="56"/>
    </row>
    <row r="49" spans="1:114" ht="24" customHeight="1">
      <c r="A49" s="875" t="str">
        <f>"Ferie "&amp;A13&amp;" måned"</f>
        <v>Ferie Juni måned</v>
      </c>
      <c r="B49" s="876"/>
      <c r="C49" s="876"/>
      <c r="D49" s="876"/>
      <c r="E49" s="876"/>
      <c r="F49" s="876"/>
      <c r="G49" s="876"/>
      <c r="H49" s="146" t="str">
        <f>IF(D76&gt;0,$D$76,"0")</f>
        <v>0</v>
      </c>
      <c r="I49" s="961">
        <f>H49*7.4*Stamoplysninger!E21</f>
        <v>0</v>
      </c>
      <c r="J49" s="962"/>
      <c r="K49" s="147"/>
      <c r="L49" s="388" t="s">
        <v>190</v>
      </c>
      <c r="M49" s="389"/>
      <c r="N49" s="389"/>
      <c r="O49" s="389"/>
      <c r="P49" s="389"/>
      <c r="Q49" s="389"/>
      <c r="R49" s="389"/>
      <c r="S49" s="389"/>
      <c r="T49" s="592"/>
      <c r="U49" s="356"/>
      <c r="V49" s="303"/>
      <c r="W49" s="130"/>
      <c r="X49" s="130"/>
      <c r="Y49" s="130"/>
      <c r="Z49" s="130"/>
      <c r="AA49"/>
      <c r="AB49"/>
      <c r="AK49" s="56"/>
      <c r="AL49" s="56"/>
      <c r="BO49" s="130"/>
      <c r="BP49" s="130"/>
      <c r="BQ49" s="130"/>
      <c r="BR49" s="130"/>
      <c r="BS49"/>
      <c r="BT49"/>
      <c r="CB49" s="56"/>
      <c r="CC49" s="56"/>
    </row>
    <row r="50" spans="1:114" ht="24" customHeight="1">
      <c r="A50" s="875" t="str">
        <f>"Søgnehelligdage i "&amp;A13&amp;" måned"</f>
        <v>Søgnehelligdage i Juni måned</v>
      </c>
      <c r="B50" s="876"/>
      <c r="C50" s="876"/>
      <c r="D50" s="876"/>
      <c r="E50" s="876"/>
      <c r="F50" s="876"/>
      <c r="G50" s="876"/>
      <c r="H50" s="146">
        <f>IF(D81&gt;0,D81,0)</f>
        <v>0</v>
      </c>
      <c r="I50" s="961">
        <f>H50*7.4*Stamoplysninger!E21</f>
        <v>0</v>
      </c>
      <c r="J50" s="962"/>
      <c r="K50" s="225"/>
      <c r="L50" s="948" t="s">
        <v>363</v>
      </c>
      <c r="M50" s="949"/>
      <c r="N50" s="949"/>
      <c r="O50" s="949"/>
      <c r="P50" s="949"/>
      <c r="Q50" s="949"/>
      <c r="R50" s="949"/>
      <c r="S50" s="949"/>
      <c r="T50" s="949"/>
      <c r="U50" s="950"/>
      <c r="V50" s="303"/>
      <c r="W50" s="130"/>
      <c r="X50" s="130"/>
      <c r="Y50" s="130"/>
      <c r="Z50" s="130"/>
      <c r="AA50"/>
      <c r="AB50"/>
      <c r="AK50" s="56"/>
      <c r="AL50" s="56"/>
      <c r="BO50" s="130"/>
      <c r="BP50" s="130"/>
      <c r="BQ50" s="130"/>
      <c r="BR50" s="130"/>
      <c r="BS50"/>
      <c r="BT50"/>
      <c r="CB50" s="56"/>
      <c r="CC50" s="56"/>
    </row>
    <row r="51" spans="1:114" ht="24" customHeight="1">
      <c r="A51" s="875" t="str">
        <f>"Nettoarbejdstid ialt i "&amp;A13&amp;" måned"</f>
        <v>Nettoarbejdstid ialt i Juni måned</v>
      </c>
      <c r="B51" s="876"/>
      <c r="C51" s="876"/>
      <c r="D51" s="876"/>
      <c r="E51" s="876"/>
      <c r="F51" s="876"/>
      <c r="G51" s="876"/>
      <c r="H51" s="148">
        <f>H48-H49-H50</f>
        <v>22</v>
      </c>
      <c r="I51" s="961">
        <f>IF(Stamoplysninger!$E$18="Ikke omfattet af overenskomst - ansat med en fast årsnorm",Stamoplysninger!$E$20/228*H51*Stamoplysninger!$E$21,I48-I49-I50)</f>
        <v>0</v>
      </c>
      <c r="J51" s="962"/>
      <c r="K51" s="225"/>
      <c r="L51" s="375" t="s">
        <v>362</v>
      </c>
      <c r="M51" s="376" t="s">
        <v>201</v>
      </c>
      <c r="N51" s="954" t="s">
        <v>277</v>
      </c>
      <c r="O51" s="949"/>
      <c r="P51" s="949"/>
      <c r="Q51" s="949"/>
      <c r="R51" s="949"/>
      <c r="S51" s="955"/>
      <c r="T51" s="921" t="s">
        <v>188</v>
      </c>
      <c r="U51" s="922"/>
      <c r="V51" s="303"/>
      <c r="W51" s="130"/>
      <c r="X51" s="130"/>
      <c r="Y51" s="130"/>
      <c r="Z51" s="130"/>
      <c r="AA51"/>
      <c r="AB51"/>
      <c r="AK51" s="56"/>
      <c r="AL51" s="56"/>
      <c r="BO51" s="130"/>
      <c r="BP51" s="130"/>
      <c r="BQ51" s="130"/>
      <c r="BR51" s="130"/>
      <c r="BS51"/>
      <c r="BT51"/>
      <c r="CB51" s="56"/>
      <c r="CC51" s="56"/>
    </row>
    <row r="52" spans="1:114" ht="24" customHeight="1">
      <c r="A52" s="881" t="str">
        <f>"Planlagt arbejdstid efter ovennstående "&amp;A13&amp;" måned kalender"</f>
        <v>Planlagt arbejdstid efter ovennstående Juni måned kalender</v>
      </c>
      <c r="B52" s="882"/>
      <c r="C52" s="882"/>
      <c r="D52" s="882"/>
      <c r="E52" s="882"/>
      <c r="F52" s="882"/>
      <c r="G52" s="882"/>
      <c r="H52" s="281">
        <f>D59+D60+D61+D62+D65+D66+D73+D67+D68+D69+D70+D71+D72+D74+D75+D63+D64</f>
        <v>22</v>
      </c>
      <c r="I52" s="940">
        <f>K45+L45+M45-J60</f>
        <v>0</v>
      </c>
      <c r="J52" s="941"/>
      <c r="K52" s="225"/>
      <c r="L52" s="372"/>
      <c r="M52" s="304"/>
      <c r="N52" s="956"/>
      <c r="O52" s="957"/>
      <c r="P52" s="957"/>
      <c r="Q52" s="957"/>
      <c r="R52" s="957"/>
      <c r="S52" s="958"/>
      <c r="T52" s="304"/>
      <c r="U52" s="371"/>
      <c r="V52" s="303"/>
      <c r="W52" s="130"/>
      <c r="X52" s="130"/>
      <c r="Y52" s="130"/>
      <c r="Z52" s="130"/>
      <c r="AA52"/>
      <c r="AB52"/>
      <c r="AK52" s="56"/>
      <c r="AL52" s="56"/>
      <c r="BO52" s="130"/>
      <c r="BP52" s="130"/>
      <c r="BQ52" s="130"/>
      <c r="BR52" s="130"/>
      <c r="BS52"/>
      <c r="BT52"/>
      <c r="CB52" s="56"/>
      <c r="CC52" s="56"/>
    </row>
    <row r="53" spans="1:114" ht="24" customHeight="1">
      <c r="A53" s="883" t="str">
        <f>"Arbejde særligt planlagt for "&amp;A13&amp;" måned efter fanen normale uger"</f>
        <v>Arbejde særligt planlagt for Juni måned efter fanen normale uger</v>
      </c>
      <c r="B53" s="884"/>
      <c r="C53" s="884"/>
      <c r="D53" s="884"/>
      <c r="E53" s="884"/>
      <c r="F53" s="884"/>
      <c r="G53" s="884"/>
      <c r="H53" s="885"/>
      <c r="I53" s="942">
        <f>IF(I52=0,0,'Normal uger'!V98)</f>
        <v>0</v>
      </c>
      <c r="J53" s="943"/>
      <c r="K53" s="226"/>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413" t="s">
        <v>273</v>
      </c>
      <c r="B54" s="414"/>
      <c r="C54" s="414"/>
      <c r="D54" s="414"/>
      <c r="E54" s="414"/>
      <c r="F54" s="414"/>
      <c r="G54" s="414"/>
      <c r="H54" s="415"/>
      <c r="I54" s="959" t="e">
        <f>IF(Arbejdstidsoversigt!$H$54="Puljetimer registreres i månedskalendere",O45-L60,SUM(Arbejdstidsoversigt!J34:J52)/Arbejdstidsoversigt!$G$20*H51)</f>
        <v>#DIV/0!</v>
      </c>
      <c r="J54" s="960"/>
      <c r="K54" s="226"/>
      <c r="L54" s="372"/>
      <c r="M54" s="304"/>
      <c r="N54" s="956"/>
      <c r="O54" s="957"/>
      <c r="P54" s="957"/>
      <c r="Q54" s="957"/>
      <c r="R54" s="957"/>
      <c r="S54" s="958"/>
      <c r="T54" s="353"/>
      <c r="U54" s="371"/>
      <c r="V54" s="406"/>
      <c r="W54" s="406"/>
      <c r="X54" s="303"/>
      <c r="Y54" s="130"/>
      <c r="Z54" s="130"/>
      <c r="AA54" s="130"/>
      <c r="AB54" s="130"/>
      <c r="AM54" s="56"/>
      <c r="AN54" s="56"/>
      <c r="BQ54" s="130"/>
      <c r="BR54" s="130"/>
      <c r="BS54" s="130"/>
      <c r="BT54" s="130"/>
      <c r="CD54" s="56"/>
      <c r="CE54" s="56"/>
    </row>
    <row r="55" spans="1:114" ht="24" customHeight="1">
      <c r="A55" s="877" t="s">
        <v>248</v>
      </c>
      <c r="B55" s="878"/>
      <c r="C55" s="878"/>
      <c r="D55" s="878"/>
      <c r="E55" s="878"/>
      <c r="F55" s="878"/>
      <c r="G55" s="878"/>
      <c r="H55" s="878"/>
      <c r="I55" s="944">
        <f>S45+U45+T45-P60-Q60-R60</f>
        <v>0</v>
      </c>
      <c r="J55" s="945"/>
      <c r="K55" s="227"/>
      <c r="L55" s="372"/>
      <c r="M55" s="304"/>
      <c r="N55" s="956"/>
      <c r="O55" s="957"/>
      <c r="P55" s="957"/>
      <c r="Q55" s="957"/>
      <c r="R55" s="957"/>
      <c r="S55" s="958"/>
      <c r="T55" s="304"/>
      <c r="U55" s="371"/>
      <c r="V55" s="303"/>
      <c r="W55" s="137"/>
      <c r="X55" s="130"/>
      <c r="Z55" s="130"/>
      <c r="AA55" s="130"/>
      <c r="AB55"/>
      <c r="AM55" s="56"/>
      <c r="AN55" s="56"/>
      <c r="BO55" s="137"/>
      <c r="BP55" s="137"/>
      <c r="BR55" s="130"/>
      <c r="BS55"/>
      <c r="BT55"/>
      <c r="CD55" s="56"/>
      <c r="CE55" s="56"/>
    </row>
    <row r="56" spans="1:114" ht="24" customHeight="1" thickBot="1">
      <c r="A56" s="149" t="str">
        <f>"Faktisk arbejdstid ialt i "&amp;A13&amp;" måned"</f>
        <v>Faktisk arbejdstid ialt i Juni måned</v>
      </c>
      <c r="B56" s="188"/>
      <c r="C56" s="189"/>
      <c r="D56" s="189"/>
      <c r="E56" s="189"/>
      <c r="F56" s="189"/>
      <c r="G56" s="189"/>
      <c r="H56" s="190"/>
      <c r="I56" s="946" t="e">
        <f>I52+I55+I53+I54</f>
        <v>#DIV/0!</v>
      </c>
      <c r="J56" s="947"/>
      <c r="K56" s="131"/>
      <c r="L56" s="951" t="s">
        <v>189</v>
      </c>
      <c r="M56" s="952"/>
      <c r="N56" s="952"/>
      <c r="O56" s="952"/>
      <c r="P56" s="952"/>
      <c r="Q56" s="952"/>
      <c r="R56" s="952"/>
      <c r="S56" s="953"/>
      <c r="T56" s="387">
        <f>T48+T49-SUM(T52:T55)</f>
        <v>0</v>
      </c>
      <c r="U56" s="394">
        <f>U48+U49-SUM(U52:U55)</f>
        <v>0</v>
      </c>
      <c r="V56" s="303"/>
      <c r="W56" s="137"/>
      <c r="X56" s="130"/>
      <c r="Z56" s="130"/>
      <c r="AA56" s="130"/>
      <c r="AB56"/>
      <c r="AL56" s="56"/>
      <c r="AM56" s="56"/>
      <c r="BO56" s="137"/>
      <c r="BP56" s="137"/>
      <c r="BR56" s="130"/>
      <c r="BS56"/>
      <c r="BT56"/>
      <c r="CC56" s="56"/>
      <c r="CD56" s="56"/>
    </row>
    <row r="57" spans="1:114" hidden="1">
      <c r="A57" s="144"/>
      <c r="B57" s="144"/>
      <c r="C57" s="144"/>
      <c r="D57" s="144"/>
      <c r="E57" s="144"/>
      <c r="F57" s="144"/>
      <c r="G57" s="144"/>
      <c r="H57" s="144"/>
      <c r="I57" s="302"/>
      <c r="J57" s="302"/>
      <c r="K57" s="302"/>
      <c r="L57" s="290"/>
      <c r="M57" s="252"/>
      <c r="N57" s="252"/>
      <c r="O57" s="252"/>
      <c r="P57" s="252"/>
      <c r="Q57" s="252"/>
      <c r="R57" s="205"/>
      <c r="S57" s="253"/>
      <c r="T57" s="126"/>
      <c r="U57" s="126"/>
      <c r="V57" s="126"/>
      <c r="W57" s="126"/>
      <c r="X57" s="126"/>
      <c r="Y57" s="63"/>
      <c r="Z57" s="63"/>
      <c r="AA57" s="130"/>
      <c r="AB57" s="130"/>
      <c r="AC57" s="130"/>
      <c r="AD57" s="130"/>
      <c r="AE57" s="118"/>
      <c r="AF57" s="137"/>
      <c r="AG57" s="137"/>
      <c r="AH57" s="137"/>
      <c r="AI57" s="137"/>
      <c r="AJ57" s="137"/>
      <c r="AK57" s="137"/>
      <c r="AL57" s="137"/>
      <c r="AM57" s="137"/>
      <c r="AN57" s="137"/>
      <c r="AO57" s="137"/>
      <c r="AP57" s="130"/>
      <c r="AR57" s="130"/>
      <c r="AS57" s="130"/>
      <c r="AW57" s="56"/>
      <c r="AX57" s="56"/>
      <c r="BG57" s="56"/>
      <c r="BH57" s="56"/>
      <c r="BS57" s="130"/>
      <c r="BT57" s="130"/>
      <c r="BU57" s="130"/>
      <c r="BV57" s="130"/>
      <c r="BW57" s="137"/>
      <c r="BX57" s="137"/>
      <c r="BY57" s="137"/>
      <c r="BZ57" s="137"/>
      <c r="CA57" s="137"/>
      <c r="CB57" s="137"/>
      <c r="CC57" s="137"/>
      <c r="CD57" s="137"/>
      <c r="CE57" s="137"/>
      <c r="CF57" s="137"/>
      <c r="CG57" s="130"/>
      <c r="CI57" s="130"/>
      <c r="CJ57" s="130"/>
      <c r="CN57" s="56"/>
      <c r="CO57" s="56"/>
      <c r="DH57" s="138"/>
      <c r="DI57" s="138"/>
    </row>
    <row r="58" spans="1:114" hidden="1">
      <c r="A58" s="286"/>
      <c r="B58" s="286"/>
      <c r="C58" s="286"/>
      <c r="D58" s="286"/>
      <c r="E58" s="286"/>
      <c r="F58" s="286"/>
      <c r="G58" s="286"/>
      <c r="H58" s="287"/>
      <c r="I58" s="288"/>
      <c r="K58" s="286"/>
      <c r="L58" s="289"/>
      <c r="M58" s="279"/>
      <c r="N58" s="279"/>
      <c r="O58" s="279"/>
      <c r="P58" s="279"/>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R58" s="303"/>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95" t="s">
        <v>217</v>
      </c>
      <c r="B59" s="295"/>
      <c r="C59" s="295"/>
      <c r="D59" s="295">
        <f>COUNTIF([0]!Juni1,"Normal uge 1")</f>
        <v>22</v>
      </c>
      <c r="E59" s="296"/>
      <c r="F59" s="295"/>
      <c r="G59" s="295"/>
      <c r="H59" s="288"/>
      <c r="I59" s="291"/>
      <c r="J59" s="289"/>
      <c r="K59" s="289"/>
      <c r="L59" s="291"/>
      <c r="M59" s="280"/>
      <c r="N59" s="252"/>
      <c r="O59" s="252"/>
      <c r="P59" s="280"/>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X59" s="56"/>
      <c r="CY59" s="56"/>
      <c r="DG59" s="1"/>
      <c r="DI59" s="138"/>
      <c r="DJ59" s="138"/>
    </row>
    <row r="60" spans="1:114" hidden="1">
      <c r="A60" s="969" t="s">
        <v>204</v>
      </c>
      <c r="B60" s="969"/>
      <c r="C60" s="969"/>
      <c r="D60" s="295">
        <f>COUNTIF([0]!Juni1,"Normal uge 2")</f>
        <v>0</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 t="shared" ref="Q60" si="33">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205</v>
      </c>
      <c r="B61" s="969"/>
      <c r="C61" s="969"/>
      <c r="D61" s="295">
        <f>COUNTIF([0]!Juni1,"Normal uge 3")</f>
        <v>0</v>
      </c>
      <c r="E61" s="296"/>
      <c r="F61" s="295"/>
      <c r="G61" s="295" t="s">
        <v>489</v>
      </c>
      <c r="H61" s="852">
        <f>IF(AND(Stamoplysninger!$E$18="BUPL/FOA",Stamoplysninger!$E$19="Ja"),1924/Arbejdstidsoversigt!$K$13*Stamoplysninger!$E$21*$H$48,H48*7.4*Stamoplysninger!$E$21)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206</v>
      </c>
      <c r="B62" s="969"/>
      <c r="C62" s="969"/>
      <c r="D62" s="295">
        <f>COUNTIF([0]!Juni1,"Normal uge 4")</f>
        <v>0</v>
      </c>
      <c r="E62" s="296"/>
      <c r="F62" s="295"/>
      <c r="G62" s="295" t="s">
        <v>212</v>
      </c>
      <c r="H62" s="852">
        <f>IF(AND(Stamoplysninger!$E$18="HK",Stamoplysninger!$E$19="Ja"),1924/Arbejdstidsoversigt!$K$13*Stamoplysninger!$E$21*$H$48,$H$48*7.4*Stamoplysninger!$E$21)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650" t="s">
        <v>406</v>
      </c>
      <c r="B63" s="650"/>
      <c r="C63" s="650"/>
      <c r="D63" s="295">
        <f>COUNTIF([0]!Juni1,"Normal uge 5")</f>
        <v>0</v>
      </c>
      <c r="E63" s="296"/>
      <c r="F63" s="295"/>
      <c r="G63" s="295" t="s">
        <v>213</v>
      </c>
      <c r="H63" s="288">
        <f>IF(Stamoplysninger!$E$18="3F",7.4*Stamoplysninger!$E$21*$H$48,0)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2" t="s">
        <v>407</v>
      </c>
      <c r="B64" s="652"/>
      <c r="C64" s="652"/>
      <c r="D64" s="295">
        <f>COUNTIF([0]!Juni1,"Normal uge 6")</f>
        <v>0</v>
      </c>
      <c r="E64" s="296"/>
      <c r="F64" s="295"/>
      <c r="G64" s="295" t="s">
        <v>498</v>
      </c>
      <c r="H64" s="288">
        <f>IF(Stamoplysninger!$E$18="Ikke omfattet af overenskomst - ansat med en variabel årsnorm",7.4*Stamoplysninger!$E$21*$H$48,0)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1" hidden="1">
      <c r="A65" s="295" t="s">
        <v>228</v>
      </c>
      <c r="B65" s="295"/>
      <c r="C65" s="295"/>
      <c r="D65" s="295">
        <f>COUNTIF([0]!Juni1,"Anderledes dag")</f>
        <v>0</v>
      </c>
      <c r="E65" s="296"/>
      <c r="F65" s="295"/>
      <c r="G65" s="295"/>
      <c r="H65" s="288"/>
      <c r="I65" s="288"/>
      <c r="J65" s="289">
        <f>SUM(J60:J64)</f>
        <v>0</v>
      </c>
      <c r="K65" s="291"/>
      <c r="L65" s="292"/>
      <c r="M65" s="280"/>
      <c r="N65" s="280"/>
      <c r="O65" s="280"/>
      <c r="P65" s="280"/>
      <c r="AA65"/>
      <c r="AB65"/>
      <c r="AW65" s="1"/>
      <c r="BG65" s="1"/>
      <c r="BR65" s="63"/>
      <c r="BS65"/>
      <c r="BT65"/>
      <c r="CN65" s="1"/>
      <c r="CU65" s="130"/>
      <c r="CY65" s="56"/>
      <c r="CZ65" s="56"/>
      <c r="DG65" s="138"/>
    </row>
    <row r="66" spans="1:111" hidden="1">
      <c r="A66" s="297" t="s">
        <v>370</v>
      </c>
      <c r="B66" s="295"/>
      <c r="C66" s="295"/>
      <c r="D66" s="295">
        <f>COUNTIF([0]!Juni1,"Ferieåbning")</f>
        <v>0</v>
      </c>
      <c r="E66" s="296"/>
      <c r="F66" s="295"/>
      <c r="G66" s="295"/>
      <c r="H66" s="288"/>
      <c r="I66" s="292"/>
      <c r="J66" s="292"/>
      <c r="K66" s="292"/>
      <c r="L66" s="292"/>
      <c r="M66" s="280"/>
      <c r="N66" s="280"/>
      <c r="O66" s="280"/>
      <c r="P66" s="280"/>
      <c r="AA66"/>
      <c r="AB66"/>
      <c r="AW66" s="1"/>
      <c r="BG66" s="1"/>
      <c r="BR66" s="63"/>
      <c r="BS66"/>
      <c r="BT66"/>
      <c r="CN66" s="1"/>
      <c r="CX66" s="1"/>
      <c r="DG66" s="138"/>
    </row>
    <row r="67" spans="1:111" hidden="1">
      <c r="A67" s="297" t="s">
        <v>218</v>
      </c>
      <c r="B67" s="295"/>
      <c r="C67" s="295"/>
      <c r="D67" s="295">
        <f>COUNTIF([0]!Juni1,"Rul 1")</f>
        <v>0</v>
      </c>
      <c r="E67" s="296"/>
      <c r="F67" s="295"/>
      <c r="G67" s="295"/>
      <c r="H67" s="288"/>
      <c r="I67" s="292"/>
      <c r="J67" s="292"/>
      <c r="K67" s="292"/>
      <c r="L67" s="292"/>
      <c r="M67" s="252"/>
      <c r="N67" s="280"/>
      <c r="O67" s="280"/>
      <c r="P67" s="252"/>
      <c r="AA67"/>
      <c r="AB67"/>
      <c r="AW67" s="1"/>
      <c r="BG67" s="1"/>
      <c r="BR67" s="63"/>
      <c r="BS67"/>
      <c r="BT67"/>
      <c r="CN67" s="1"/>
      <c r="CX67" s="1"/>
      <c r="DG67" s="138"/>
    </row>
    <row r="68" spans="1:111" hidden="1">
      <c r="A68" s="297" t="s">
        <v>219</v>
      </c>
      <c r="B68" s="295"/>
      <c r="C68" s="295"/>
      <c r="D68" s="295">
        <f>COUNTIF([0]!Juni1,"Rul 2")</f>
        <v>0</v>
      </c>
      <c r="E68" s="296"/>
      <c r="F68" s="295"/>
      <c r="G68" s="295"/>
      <c r="H68" s="288"/>
      <c r="I68" s="292"/>
      <c r="J68" s="292"/>
      <c r="K68" s="292"/>
      <c r="L68" s="292"/>
      <c r="N68" s="280"/>
      <c r="O68" s="280"/>
      <c r="AA68"/>
      <c r="AB68"/>
      <c r="AW68" s="1"/>
      <c r="BG68" s="1"/>
      <c r="BR68" s="63"/>
      <c r="BS68"/>
      <c r="BT68"/>
      <c r="CN68" s="1"/>
      <c r="CX68" s="1"/>
      <c r="DG68" s="138"/>
    </row>
    <row r="69" spans="1:111" hidden="1">
      <c r="A69" s="297" t="s">
        <v>220</v>
      </c>
      <c r="B69" s="295"/>
      <c r="C69" s="295"/>
      <c r="D69" s="295">
        <f>COUNTIF([0]!Juni1,"Rul 3")</f>
        <v>0</v>
      </c>
      <c r="E69" s="296"/>
      <c r="F69" s="295"/>
      <c r="G69" s="295"/>
      <c r="H69" s="288"/>
      <c r="I69" s="292"/>
      <c r="J69" s="292"/>
      <c r="K69" s="292"/>
      <c r="L69" s="292"/>
      <c r="N69" s="252"/>
      <c r="O69" s="252"/>
      <c r="P69" s="288"/>
      <c r="AA69"/>
      <c r="AB69"/>
      <c r="AW69" s="1"/>
      <c r="BG69" s="1"/>
      <c r="BR69" s="63"/>
      <c r="BS69"/>
      <c r="BT69"/>
      <c r="CN69" s="1"/>
      <c r="CX69" s="1"/>
      <c r="DG69" s="138"/>
    </row>
    <row r="70" spans="1:111" hidden="1">
      <c r="A70" s="297" t="s">
        <v>221</v>
      </c>
      <c r="B70" s="295"/>
      <c r="C70" s="295"/>
      <c r="D70" s="295">
        <f>COUNTIF([0]!Juni1,"Rul 4")</f>
        <v>0</v>
      </c>
      <c r="E70" s="296"/>
      <c r="F70" s="295"/>
      <c r="G70" s="295"/>
      <c r="H70" s="288"/>
      <c r="I70" s="292"/>
      <c r="J70" s="292"/>
      <c r="K70" s="292"/>
      <c r="L70" s="292"/>
      <c r="AA70"/>
      <c r="AB70"/>
      <c r="AW70" s="1"/>
      <c r="BG70" s="1"/>
      <c r="BS70"/>
      <c r="BT70"/>
      <c r="CN70" s="1"/>
      <c r="CX70" s="1"/>
      <c r="DG70" s="138"/>
    </row>
    <row r="71" spans="1:111" hidden="1">
      <c r="A71" s="297" t="s">
        <v>222</v>
      </c>
      <c r="B71" s="295"/>
      <c r="C71" s="295"/>
      <c r="D71" s="295">
        <f>COUNTIF([0]!Juni1,"Rul 5")</f>
        <v>0</v>
      </c>
      <c r="E71" s="296"/>
      <c r="F71" s="295"/>
      <c r="G71" s="295"/>
      <c r="H71" s="288"/>
      <c r="I71" s="292"/>
      <c r="J71" s="292"/>
      <c r="K71" s="292"/>
      <c r="L71" s="292"/>
      <c r="AA71"/>
      <c r="AB71"/>
      <c r="AW71" s="1"/>
      <c r="BG71" s="1"/>
      <c r="BS71"/>
      <c r="BT71"/>
      <c r="CN71" s="1"/>
      <c r="CX71" s="1"/>
      <c r="DG71" s="138"/>
    </row>
    <row r="72" spans="1:111" hidden="1">
      <c r="A72" s="297" t="s">
        <v>223</v>
      </c>
      <c r="B72" s="295"/>
      <c r="C72" s="295"/>
      <c r="D72" s="295">
        <f>COUNTIF([0]!Juni1,"Rul 6")</f>
        <v>0</v>
      </c>
      <c r="E72" s="296"/>
      <c r="F72" s="298"/>
      <c r="G72" s="298"/>
      <c r="H72" s="294"/>
      <c r="I72" s="292"/>
      <c r="J72" s="292"/>
      <c r="K72" s="292"/>
      <c r="L72" s="292"/>
      <c r="AA72"/>
      <c r="AB72"/>
      <c r="AW72" s="1"/>
      <c r="BG72" s="1"/>
      <c r="BS72"/>
      <c r="BT72"/>
      <c r="CN72" s="1"/>
      <c r="CX72" s="1"/>
      <c r="DG72" s="138"/>
    </row>
    <row r="73" spans="1:111" hidden="1">
      <c r="A73" s="295" t="s">
        <v>83</v>
      </c>
      <c r="B73" s="295"/>
      <c r="C73" s="295"/>
      <c r="D73" s="295">
        <f>COUNTIF([0]!Juni1,"Pæd.dag")</f>
        <v>0</v>
      </c>
      <c r="E73" s="296"/>
      <c r="F73" s="295"/>
      <c r="G73" s="295"/>
      <c r="H73" s="288"/>
      <c r="I73" s="292"/>
      <c r="J73" s="292"/>
      <c r="K73" s="292"/>
      <c r="L73" s="291"/>
      <c r="AA73"/>
      <c r="AB73"/>
      <c r="AW73" s="1"/>
      <c r="BG73" s="1"/>
      <c r="BS73"/>
      <c r="BT73"/>
      <c r="CN73" s="1"/>
      <c r="CX73" s="1"/>
      <c r="DG73" s="138"/>
    </row>
    <row r="74" spans="1:111" hidden="1">
      <c r="A74" s="295" t="s">
        <v>227</v>
      </c>
      <c r="B74" s="295"/>
      <c r="C74" s="295"/>
      <c r="D74" s="295">
        <f>COUNTIF([0]!Juni1,"Koloni")</f>
        <v>0</v>
      </c>
      <c r="E74" s="296"/>
      <c r="F74" s="295"/>
      <c r="G74" s="295"/>
      <c r="H74" s="288"/>
      <c r="I74" s="292"/>
      <c r="J74" s="292"/>
      <c r="K74" s="292"/>
      <c r="L74" s="291"/>
      <c r="AA74"/>
      <c r="AB74"/>
      <c r="AW74" s="1"/>
      <c r="BG74" s="1"/>
      <c r="BS74"/>
      <c r="BT74"/>
      <c r="CN74" s="1"/>
      <c r="CX74" s="1"/>
      <c r="DG74" s="138"/>
    </row>
    <row r="75" spans="1:111" hidden="1">
      <c r="A75" s="295" t="s">
        <v>82</v>
      </c>
      <c r="B75" s="295"/>
      <c r="C75" s="295"/>
      <c r="D75" s="295">
        <f>COUNTIF([0]!Juni1,"Ekskursion")</f>
        <v>0</v>
      </c>
      <c r="E75" s="296"/>
      <c r="F75" s="295"/>
      <c r="G75" s="295"/>
      <c r="H75" s="288"/>
      <c r="I75" s="292"/>
      <c r="J75" s="292"/>
      <c r="K75" s="292"/>
      <c r="L75" s="291"/>
      <c r="AA75"/>
      <c r="AB75"/>
      <c r="AW75" s="1"/>
      <c r="BG75" s="1"/>
      <c r="BS75"/>
      <c r="BT75"/>
      <c r="CN75" s="1"/>
      <c r="CX75" s="1"/>
      <c r="DG75" s="138"/>
    </row>
    <row r="76" spans="1:111" hidden="1">
      <c r="A76" s="295" t="s">
        <v>109</v>
      </c>
      <c r="B76" s="295"/>
      <c r="C76" s="295"/>
      <c r="D76" s="295">
        <f>COUNTIF([0]!Juni1,"Feriedag")</f>
        <v>0</v>
      </c>
      <c r="E76" s="295"/>
      <c r="F76" s="295"/>
      <c r="G76" s="295"/>
      <c r="H76" s="288"/>
      <c r="I76" s="292"/>
      <c r="J76" s="292"/>
      <c r="K76" s="292"/>
      <c r="L76" s="291"/>
      <c r="AA76"/>
      <c r="AB76"/>
      <c r="AW76" s="1"/>
      <c r="BG76" s="1"/>
      <c r="BS76"/>
      <c r="BT76"/>
      <c r="CN76" s="1"/>
      <c r="CX76" s="1"/>
      <c r="DG76" s="138"/>
    </row>
    <row r="77" spans="1:111" hidden="1">
      <c r="A77" s="295" t="s">
        <v>78</v>
      </c>
      <c r="B77" s="295"/>
      <c r="C77" s="295"/>
      <c r="D77" s="295">
        <f>COUNTIF([0]!Juni1,"Nul-dag")</f>
        <v>0</v>
      </c>
      <c r="E77" s="299"/>
      <c r="F77" s="295"/>
      <c r="G77" s="295"/>
      <c r="H77" s="288"/>
      <c r="I77" s="292"/>
      <c r="J77" s="292"/>
      <c r="K77" s="292"/>
      <c r="L77" s="291"/>
      <c r="AA77"/>
      <c r="AB77"/>
      <c r="AW77" s="1"/>
      <c r="BG77" s="1"/>
      <c r="BS77"/>
      <c r="BT77"/>
      <c r="CN77" s="1"/>
      <c r="CX77" s="1"/>
      <c r="DG77" s="138"/>
    </row>
    <row r="78" spans="1:111" hidden="1">
      <c r="A78" s="295" t="s">
        <v>176</v>
      </c>
      <c r="B78" s="295"/>
      <c r="C78" s="295"/>
      <c r="D78" s="295">
        <f>COUNTIF([0]!Juni1,"Orlov")</f>
        <v>0</v>
      </c>
      <c r="E78" s="295"/>
      <c r="F78" s="295"/>
      <c r="G78" s="295"/>
      <c r="H78" s="288"/>
      <c r="I78" s="288"/>
      <c r="J78" s="292"/>
      <c r="K78" s="292"/>
      <c r="L78" s="291"/>
      <c r="AA78"/>
      <c r="AB78"/>
      <c r="AW78" s="1"/>
      <c r="BG78" s="1"/>
      <c r="BS78"/>
      <c r="BT78"/>
      <c r="CN78" s="1"/>
      <c r="CX78" s="1"/>
      <c r="DG78" s="138"/>
    </row>
    <row r="79" spans="1:111" hidden="1">
      <c r="A79" s="295" t="s">
        <v>98</v>
      </c>
      <c r="B79" s="295"/>
      <c r="C79" s="295"/>
      <c r="D79" s="295">
        <f>COUNTIF([0]!Juni1,"Ikke relevant")</f>
        <v>0</v>
      </c>
      <c r="E79" s="295"/>
      <c r="F79" s="295"/>
      <c r="G79" s="295"/>
      <c r="H79" s="288"/>
      <c r="I79" s="288"/>
      <c r="J79" s="291"/>
      <c r="K79" s="291"/>
      <c r="L79" s="291"/>
      <c r="AA79"/>
      <c r="AB79"/>
      <c r="AW79" s="1"/>
      <c r="BG79" s="1"/>
      <c r="BS79"/>
      <c r="BT79"/>
      <c r="CN79" s="1"/>
      <c r="CX79" s="1"/>
      <c r="DG79" s="138"/>
    </row>
    <row r="80" spans="1:111" hidden="1">
      <c r="A80" s="295" t="s">
        <v>77</v>
      </c>
      <c r="B80" s="295"/>
      <c r="C80" s="295"/>
      <c r="D80" s="295">
        <f>COUNTIF([0]!Juni1,"Weekend")</f>
        <v>8</v>
      </c>
      <c r="E80" s="295"/>
      <c r="F80" s="295"/>
      <c r="G80" s="295"/>
      <c r="H80" s="288"/>
      <c r="I80" s="288"/>
      <c r="J80" s="291"/>
      <c r="K80" s="291"/>
      <c r="L80" s="291"/>
      <c r="AA80"/>
      <c r="AB80"/>
      <c r="AW80" s="1"/>
      <c r="BG80" s="1"/>
      <c r="BS80"/>
      <c r="BT80"/>
      <c r="CN80" s="1"/>
      <c r="CX80" s="1"/>
      <c r="DG80" s="138"/>
    </row>
    <row r="81" spans="1:114" hidden="1">
      <c r="A81" s="293" t="s">
        <v>76</v>
      </c>
      <c r="B81" s="295"/>
      <c r="C81" s="295"/>
      <c r="D81" s="295">
        <f>COUNTIF([0]!Juni1,"SH-dag")</f>
        <v>0</v>
      </c>
      <c r="E81" s="295"/>
      <c r="F81" s="295"/>
      <c r="G81" s="295"/>
      <c r="H81" s="288"/>
      <c r="I81" s="288"/>
      <c r="J81" s="291"/>
      <c r="K81" s="291"/>
      <c r="L81" s="291"/>
      <c r="AA81"/>
      <c r="AB81"/>
      <c r="AW81" s="1">
        <f>SUM(P81:AV81)</f>
        <v>0</v>
      </c>
      <c r="BG81" s="1">
        <f>SUM(Z87:BF87)</f>
        <v>0</v>
      </c>
      <c r="BS81"/>
      <c r="BT81"/>
      <c r="CN81" s="1">
        <f>SUM(AV81:CM81)</f>
        <v>0</v>
      </c>
      <c r="CX81" s="1"/>
      <c r="DG81" s="138"/>
    </row>
    <row r="82" spans="1:114" hidden="1">
      <c r="A82" s="295" t="s">
        <v>73</v>
      </c>
      <c r="B82" s="295"/>
      <c r="C82" s="295"/>
      <c r="D82" s="295">
        <f>SUM(D59:D81)</f>
        <v>30</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122</v>
      </c>
      <c r="B83" s="295"/>
      <c r="C83" s="295"/>
      <c r="D83" s="295">
        <f>D82-D76-A92-D80-D81</f>
        <v>22</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c r="B84" s="295"/>
      <c r="C84" s="295"/>
      <c r="D84" s="295"/>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33"/>
      <c r="AA85"/>
      <c r="AB85"/>
      <c r="BS85"/>
      <c r="BT85"/>
      <c r="CX85" s="1">
        <f>SUM(BQ90:CW90)</f>
        <v>0</v>
      </c>
      <c r="DG85" s="138"/>
    </row>
    <row r="86" spans="1:114" hidden="1">
      <c r="A86" s="295" t="s">
        <v>138</v>
      </c>
      <c r="B86" s="295"/>
      <c r="C86" s="295"/>
      <c r="D86" s="295"/>
      <c r="E86" s="295"/>
      <c r="F86" s="295"/>
      <c r="G86" s="295"/>
      <c r="H86" s="291"/>
      <c r="I86" s="288"/>
      <c r="J86" s="291"/>
      <c r="K86" s="291"/>
      <c r="L86" s="33"/>
      <c r="AA86"/>
      <c r="AB86"/>
      <c r="BS86"/>
      <c r="BT86"/>
      <c r="DG86" s="138"/>
    </row>
    <row r="87" spans="1:114" hidden="1">
      <c r="A87" s="295">
        <f>COUNTIF(C20:C21,"Normal uge 1")+COUNTIF(C20:C21,"Normal uge 2")+COUNTIF(C20:C21,"Normal uge 3")+COUNTIF(C20:C21,"Normal uge 4")+COUNTIF(C20:C21,"Anderledes dag")+COUNTIF(C20:C21,"Feriepasningsdag")+COUNTIF(C20:C21,"Koloni")+COUNTIF(C20:C21,"Ekskursion")+COUNTIF(C20:C21,"Pæd.dag")</f>
        <v>0</v>
      </c>
      <c r="B87" s="295"/>
      <c r="C87" s="295"/>
      <c r="D87" s="295"/>
      <c r="E87" s="295"/>
      <c r="F87" s="295"/>
      <c r="G87" s="295"/>
      <c r="H87" s="291"/>
      <c r="I87" s="291"/>
      <c r="J87" s="291"/>
      <c r="K87" s="291"/>
      <c r="L87" s="33"/>
      <c r="AA87"/>
      <c r="AB87"/>
      <c r="BS87"/>
      <c r="BT87"/>
      <c r="DG87" s="138"/>
    </row>
    <row r="88" spans="1:114" hidden="1">
      <c r="A88" s="295">
        <f>COUNTIF(C27:C28,"Normal uge 1")+COUNTIF(C27:C28,"Normal uge 2")+COUNTIF(C27:C28,"Normal uge 3")+COUNTIF(C27:C28,"Normal uge 4")+COUNTIF(C27:C28,"Anderledes dag")+COUNTIF(C27:C28,"Feriepasningsdag")+COUNTIF(C27:C28,"Pæd.dag")+COUNTIF(C27:C28,"Ekskursion")+COUNTIF(C27:C28,"Koloni")</f>
        <v>0</v>
      </c>
      <c r="B88" s="295"/>
      <c r="C88" s="295"/>
      <c r="D88" s="295"/>
      <c r="E88" s="295"/>
      <c r="F88" s="295"/>
      <c r="G88" s="295"/>
      <c r="H88" s="291"/>
      <c r="I88" s="33"/>
      <c r="J88" s="291"/>
      <c r="K88" s="291"/>
      <c r="L88" s="33"/>
      <c r="AA88"/>
      <c r="AB88"/>
      <c r="BS88"/>
      <c r="BT88"/>
      <c r="DG88" s="138"/>
    </row>
    <row r="89" spans="1:114" hidden="1">
      <c r="A89" s="295">
        <f>COUNTIF(C34:C35,"Normal uge 1")+COUNTIF(C34:C35,"Normal uge 2")+COUNTIF(C34:C35,"Normal uge 3")+COUNTIF(C34:C35,"Normal uge 4")+COUNTIF(C34:C35,"Anderledes dag")+COUNTIF(C34:C35,"Feriepasningsdag")+COUNTIF(C34:C35,"Koloni")+COUNTIF(C34:C35,"Ekskursion")+COUNTIF(C34:C35,"Pæd.dag")</f>
        <v>0</v>
      </c>
      <c r="B89" s="295"/>
      <c r="C89" s="295"/>
      <c r="D89" s="295"/>
      <c r="E89" s="288"/>
      <c r="F89" s="288"/>
      <c r="G89" s="288"/>
      <c r="H89" s="291"/>
      <c r="I89" s="33"/>
      <c r="J89" s="33"/>
      <c r="K89" s="33"/>
      <c r="L89" s="33"/>
      <c r="AA89"/>
      <c r="AB89"/>
      <c r="BS89"/>
      <c r="BT89"/>
      <c r="DG89" s="138"/>
    </row>
    <row r="90" spans="1:114" hidden="1">
      <c r="A90" s="295">
        <f>COUNTIF(C41:C42,"Normal uge 1")+COUNTIF(C41:C42,"Normal uge 2")+COUNTIF(C41:C42,"Normal uge 3")+COUNTIF(C41:C42,"Normal uge 4")+COUNTIF(C41:C42,"Anderledes dag")+COUNTIF(C41:C42,"Feriepasningsdag")+COUNTIF(C41:C42,"Koloni")+COUNTIF(C41:C42,"Ekskursion")+COUNTIF(C41:C42,"Pæd.dag")</f>
        <v>0</v>
      </c>
      <c r="B90" s="295"/>
      <c r="C90" s="295"/>
      <c r="D90" s="295"/>
      <c r="E90" s="288"/>
      <c r="F90" s="288"/>
      <c r="G90" s="288"/>
      <c r="H90" s="291"/>
      <c r="I90" s="33"/>
      <c r="J90" s="33"/>
      <c r="K90" s="33"/>
      <c r="L90" s="33"/>
      <c r="AA90"/>
      <c r="AB90"/>
      <c r="AF90" s="4"/>
      <c r="AG90" s="4"/>
      <c r="AH90" s="4"/>
      <c r="AI90" s="4"/>
      <c r="AJ90" s="4"/>
      <c r="AK90" s="4"/>
      <c r="AL90" s="4"/>
      <c r="AM90" s="127"/>
      <c r="AN90" s="127"/>
      <c r="AO90" s="127"/>
      <c r="AP90" s="127"/>
      <c r="BS90"/>
      <c r="BT90"/>
      <c r="BW90" s="4"/>
      <c r="BX90" s="4"/>
      <c r="BY90" s="4"/>
      <c r="BZ90" s="4"/>
      <c r="CA90" s="4"/>
      <c r="CB90" s="4"/>
      <c r="CC90" s="4"/>
      <c r="CD90" s="127"/>
      <c r="CE90" s="127"/>
      <c r="CF90" s="127"/>
      <c r="CG90" s="127"/>
      <c r="DI90" s="138"/>
      <c r="DJ90" s="138"/>
    </row>
    <row r="91" spans="1:114" hidden="1">
      <c r="A91" s="295"/>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f>SUM(A87:A91)</f>
        <v>0</v>
      </c>
      <c r="B92" s="295"/>
      <c r="C92" s="295"/>
      <c r="D92" s="295"/>
      <c r="E92" s="68"/>
      <c r="F92" s="68"/>
      <c r="G92" s="68"/>
      <c r="H92" s="33"/>
      <c r="I92" s="33"/>
      <c r="J92" s="33"/>
      <c r="K92" s="33"/>
      <c r="L92" s="33"/>
    </row>
    <row r="93" spans="1:114" hidden="1">
      <c r="A93" s="300"/>
      <c r="B93" s="300"/>
      <c r="C93" s="300"/>
      <c r="D93" s="300"/>
      <c r="E93" s="68"/>
      <c r="F93" s="68"/>
      <c r="G93" s="68"/>
      <c r="H93" s="33"/>
      <c r="I93" s="33"/>
      <c r="J93" s="33"/>
      <c r="K93" s="33"/>
      <c r="L93" s="33"/>
    </row>
    <row r="94" spans="1:114" ht="7" hidden="1" customHeight="1">
      <c r="A94" s="33"/>
      <c r="B94" s="33"/>
      <c r="C94" s="33"/>
      <c r="D94" s="33"/>
      <c r="E94" s="260"/>
      <c r="F94" s="260"/>
      <c r="G94" s="260"/>
      <c r="H94" s="260"/>
      <c r="I94" s="260"/>
      <c r="J94" s="260"/>
      <c r="K94" s="260"/>
      <c r="L94" s="260"/>
    </row>
    <row r="95" spans="1:114" hidden="1">
      <c r="A95" s="33"/>
      <c r="B95" s="33"/>
      <c r="C95" s="33"/>
      <c r="D95" s="33"/>
      <c r="E95" s="260"/>
      <c r="F95" s="260"/>
      <c r="G95" s="260"/>
      <c r="H95" s="260"/>
      <c r="I95" s="260"/>
      <c r="J95" s="260"/>
      <c r="K95" s="260"/>
      <c r="L95" s="260"/>
    </row>
    <row r="96" spans="1:114">
      <c r="A96" s="260"/>
      <c r="B96" s="260"/>
      <c r="C96" s="260"/>
      <c r="D96" s="260"/>
      <c r="E96" s="260"/>
      <c r="F96" s="260"/>
      <c r="G96" s="260"/>
      <c r="H96" s="260"/>
      <c r="I96" s="260"/>
      <c r="J96" s="260"/>
      <c r="K96" s="260"/>
      <c r="L96" s="260"/>
    </row>
    <row r="97" spans="1:12">
      <c r="A97" s="260"/>
      <c r="B97" s="260"/>
      <c r="C97" s="260"/>
      <c r="D97" s="260"/>
      <c r="E97" s="260"/>
      <c r="F97" s="260"/>
      <c r="G97" s="260"/>
      <c r="H97" s="260"/>
      <c r="I97" s="260"/>
      <c r="J97" s="260"/>
      <c r="K97" s="260"/>
      <c r="L97" s="260"/>
    </row>
    <row r="98" spans="1:12">
      <c r="A98" s="260"/>
      <c r="B98" s="260"/>
      <c r="C98" s="260"/>
      <c r="D98" s="260"/>
      <c r="E98" s="260"/>
      <c r="F98" s="260"/>
      <c r="G98" s="260"/>
      <c r="H98" s="260"/>
      <c r="I98" s="260"/>
      <c r="J98" s="260"/>
      <c r="K98" s="260"/>
      <c r="L98" s="260"/>
    </row>
    <row r="99" spans="1:12">
      <c r="A99" s="260"/>
      <c r="B99" s="260"/>
      <c r="C99" s="260"/>
      <c r="D99" s="260"/>
      <c r="E99" s="260"/>
      <c r="F99" s="260"/>
      <c r="G99" s="260"/>
      <c r="H99" s="260"/>
      <c r="I99" s="260"/>
      <c r="J99" s="260"/>
      <c r="K99" s="260"/>
      <c r="L99" s="260"/>
    </row>
    <row r="100" spans="1:12">
      <c r="A100" s="260"/>
      <c r="B100" s="260"/>
      <c r="C100" s="260"/>
      <c r="D100" s="260"/>
      <c r="E100" s="260"/>
      <c r="F100" s="260"/>
      <c r="G100" s="260"/>
      <c r="H100" s="260"/>
      <c r="I100" s="260"/>
      <c r="J100" s="260"/>
      <c r="K100" s="260"/>
      <c r="L100" s="260"/>
    </row>
    <row r="101" spans="1:12">
      <c r="A101" s="260"/>
      <c r="B101" s="260"/>
      <c r="C101" s="260"/>
      <c r="D101" s="260"/>
      <c r="E101" s="260"/>
      <c r="F101" s="260"/>
      <c r="G101" s="260"/>
      <c r="H101" s="260"/>
      <c r="I101" s="260"/>
      <c r="J101" s="260"/>
      <c r="K101" s="260"/>
      <c r="L101" s="260"/>
    </row>
    <row r="102" spans="1:12">
      <c r="A102" s="260"/>
      <c r="B102" s="260"/>
      <c r="C102" s="260"/>
      <c r="D102" s="260"/>
      <c r="E102" s="260"/>
      <c r="F102" s="260"/>
      <c r="G102" s="260"/>
      <c r="H102" s="260"/>
      <c r="I102" s="260"/>
      <c r="J102" s="260"/>
      <c r="K102" s="260"/>
      <c r="L102" s="260"/>
    </row>
    <row r="103" spans="1:12">
      <c r="A103" s="260"/>
      <c r="B103" s="260"/>
      <c r="C103" s="260"/>
      <c r="D103" s="260"/>
      <c r="E103" s="260"/>
      <c r="F103" s="260"/>
      <c r="G103" s="260"/>
      <c r="H103" s="260"/>
      <c r="I103" s="260"/>
      <c r="J103" s="260"/>
      <c r="K103" s="260"/>
      <c r="L103" s="260"/>
    </row>
    <row r="104" spans="1:12">
      <c r="A104" s="260"/>
      <c r="B104" s="260"/>
      <c r="C104" s="260"/>
      <c r="D104" s="260"/>
      <c r="E104" s="260"/>
      <c r="F104" s="260"/>
      <c r="G104" s="260"/>
      <c r="H104" s="260"/>
      <c r="I104" s="260"/>
      <c r="J104" s="260"/>
      <c r="K104" s="260"/>
      <c r="L104" s="260"/>
    </row>
    <row r="105" spans="1:12">
      <c r="A105" s="260"/>
      <c r="B105" s="260"/>
      <c r="C105" s="260"/>
      <c r="D105" s="260"/>
      <c r="E105" s="260"/>
      <c r="F105" s="260"/>
      <c r="G105" s="260"/>
      <c r="H105" s="260"/>
      <c r="I105" s="260"/>
      <c r="J105" s="260"/>
      <c r="K105" s="260"/>
      <c r="L105" s="260"/>
    </row>
    <row r="106" spans="1:12">
      <c r="A106" s="260"/>
      <c r="B106" s="260"/>
      <c r="C106" s="260"/>
      <c r="D106" s="260"/>
      <c r="E106" s="260"/>
      <c r="F106" s="260"/>
      <c r="G106" s="260"/>
      <c r="H106" s="260"/>
      <c r="I106" s="260"/>
      <c r="J106" s="260"/>
      <c r="K106" s="260"/>
      <c r="L106" s="260"/>
    </row>
    <row r="107" spans="1:12">
      <c r="A107" s="260"/>
      <c r="B107" s="260"/>
      <c r="C107" s="260"/>
      <c r="D107" s="260"/>
      <c r="E107" s="260"/>
      <c r="F107" s="260"/>
      <c r="G107" s="260"/>
      <c r="H107" s="260"/>
      <c r="I107" s="260"/>
      <c r="J107" s="260"/>
      <c r="K107" s="260"/>
      <c r="L107" s="260"/>
    </row>
    <row r="108" spans="1:12">
      <c r="A108" s="260"/>
      <c r="B108" s="260"/>
      <c r="C108" s="260"/>
      <c r="D108" s="260"/>
      <c r="E108" s="260"/>
      <c r="F108" s="260"/>
      <c r="G108" s="260"/>
      <c r="H108" s="260"/>
      <c r="I108" s="260"/>
      <c r="J108" s="260"/>
      <c r="K108" s="260"/>
      <c r="L108" s="260"/>
    </row>
    <row r="109" spans="1:12">
      <c r="A109" s="260"/>
      <c r="B109" s="260"/>
      <c r="C109" s="260"/>
      <c r="D109" s="260"/>
      <c r="E109" s="260"/>
      <c r="F109" s="260"/>
      <c r="G109" s="260"/>
      <c r="H109" s="260"/>
      <c r="I109" s="260"/>
      <c r="J109" s="260"/>
      <c r="K109" s="260"/>
      <c r="L109" s="260"/>
    </row>
    <row r="110" spans="1:12">
      <c r="A110" s="260"/>
      <c r="B110" s="260"/>
      <c r="C110" s="260"/>
      <c r="D110" s="260"/>
      <c r="E110" s="260"/>
      <c r="F110" s="260"/>
      <c r="G110" s="260"/>
      <c r="H110" s="260"/>
      <c r="I110" s="260"/>
      <c r="J110" s="260"/>
      <c r="K110" s="260"/>
      <c r="L110" s="260"/>
    </row>
    <row r="111" spans="1:12">
      <c r="A111" s="260"/>
      <c r="B111" s="260"/>
      <c r="C111" s="260"/>
      <c r="D111" s="260"/>
      <c r="E111" s="260"/>
      <c r="F111" s="260"/>
      <c r="G111" s="260"/>
      <c r="H111" s="260"/>
      <c r="I111" s="260"/>
      <c r="J111" s="260"/>
      <c r="K111" s="260"/>
      <c r="L111" s="260"/>
    </row>
    <row r="112" spans="1:12">
      <c r="A112" s="260"/>
      <c r="B112" s="260"/>
      <c r="C112" s="260"/>
      <c r="D112" s="260"/>
      <c r="E112" s="260"/>
      <c r="F112" s="260"/>
      <c r="G112" s="260"/>
      <c r="H112" s="260"/>
      <c r="I112" s="260"/>
      <c r="J112" s="260"/>
      <c r="K112" s="260"/>
      <c r="L112" s="260"/>
    </row>
    <row r="113" spans="1:12">
      <c r="A113" s="260"/>
      <c r="B113" s="260"/>
      <c r="C113" s="260"/>
      <c r="D113" s="260"/>
      <c r="E113" s="260"/>
      <c r="F113" s="260"/>
      <c r="G113" s="260"/>
      <c r="H113" s="260"/>
      <c r="I113" s="260"/>
      <c r="J113" s="260"/>
      <c r="K113" s="260"/>
      <c r="L113" s="260"/>
    </row>
    <row r="114" spans="1:12">
      <c r="A114" s="260"/>
      <c r="B114" s="260"/>
      <c r="C114" s="260"/>
      <c r="D114" s="260"/>
      <c r="E114" s="260"/>
      <c r="F114" s="260"/>
      <c r="G114" s="260"/>
      <c r="H114" s="260"/>
      <c r="I114" s="260"/>
      <c r="J114" s="260"/>
      <c r="K114" s="260"/>
      <c r="L114" s="260"/>
    </row>
    <row r="115" spans="1:12">
      <c r="A115" s="260"/>
      <c r="B115" s="260"/>
      <c r="C115" s="260"/>
      <c r="D115" s="260"/>
      <c r="E115" s="260"/>
      <c r="F115" s="260"/>
      <c r="G115" s="260"/>
      <c r="H115" s="260"/>
      <c r="I115" s="260"/>
      <c r="J115" s="260"/>
      <c r="K115" s="260"/>
      <c r="L115" s="260"/>
    </row>
    <row r="116" spans="1:12">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c r="L118" s="260"/>
    </row>
    <row r="119" spans="1:12">
      <c r="A119" s="260"/>
      <c r="B119" s="260"/>
      <c r="C119" s="260"/>
      <c r="D119" s="260"/>
      <c r="E119" s="260"/>
      <c r="F119" s="260"/>
      <c r="G119" s="260"/>
      <c r="H119" s="260"/>
      <c r="I119" s="260"/>
      <c r="J119" s="260"/>
      <c r="K119" s="260"/>
    </row>
    <row r="120" spans="1:12">
      <c r="A120" s="260"/>
      <c r="B120" s="260"/>
      <c r="C120" s="260"/>
      <c r="D120" s="260"/>
      <c r="E120" s="260"/>
      <c r="F120" s="260"/>
      <c r="G120" s="260"/>
      <c r="H120" s="260"/>
      <c r="I120" s="260"/>
      <c r="J120" s="260"/>
      <c r="K120" s="260"/>
    </row>
    <row r="121" spans="1:12">
      <c r="A121" s="260"/>
      <c r="B121" s="260"/>
      <c r="C121" s="260"/>
      <c r="D121" s="260"/>
      <c r="I121" s="260"/>
      <c r="J121" s="260"/>
      <c r="K121" s="260"/>
    </row>
    <row r="122" spans="1:12">
      <c r="A122" s="260"/>
      <c r="B122" s="260"/>
      <c r="C122" s="260"/>
      <c r="D122" s="260"/>
      <c r="J122" s="260"/>
      <c r="K122" s="260"/>
    </row>
    <row r="123" spans="1:12">
      <c r="A123" s="260"/>
      <c r="B123" s="260"/>
      <c r="C123" s="260"/>
      <c r="D123" s="260"/>
    </row>
    <row r="124" spans="1:12">
      <c r="A124" s="260"/>
      <c r="B124" s="260"/>
      <c r="C124" s="260"/>
      <c r="D124" s="260"/>
    </row>
    <row r="125" spans="1:12">
      <c r="A125" s="260"/>
      <c r="B125" s="260"/>
      <c r="C125" s="260"/>
      <c r="D125" s="260"/>
    </row>
    <row r="126" spans="1:12">
      <c r="A126" s="260"/>
      <c r="B126" s="260"/>
      <c r="C126" s="260"/>
      <c r="D126" s="260"/>
    </row>
  </sheetData>
  <sheetProtection sheet="1" objects="1" scenarios="1"/>
  <mergeCells count="115">
    <mergeCell ref="A62:C62"/>
    <mergeCell ref="I54:J54"/>
    <mergeCell ref="N52:S52"/>
    <mergeCell ref="A55:H55"/>
    <mergeCell ref="I55:J55"/>
    <mergeCell ref="I56:J56"/>
    <mergeCell ref="L56:S56"/>
    <mergeCell ref="A60:C60"/>
    <mergeCell ref="A52:G52"/>
    <mergeCell ref="I52:J52"/>
    <mergeCell ref="A53:H53"/>
    <mergeCell ref="I53:J53"/>
    <mergeCell ref="N54:S54"/>
    <mergeCell ref="N55:S55"/>
    <mergeCell ref="H62:I62"/>
    <mergeCell ref="N53:S53"/>
    <mergeCell ref="A61:C61"/>
    <mergeCell ref="I49:J49"/>
    <mergeCell ref="N11:O11"/>
    <mergeCell ref="N12:O12"/>
    <mergeCell ref="N14:O14"/>
    <mergeCell ref="A11:M11"/>
    <mergeCell ref="E40:G40"/>
    <mergeCell ref="E41:G41"/>
    <mergeCell ref="E42:G42"/>
    <mergeCell ref="E43:G43"/>
    <mergeCell ref="L47:S48"/>
    <mergeCell ref="A48:G48"/>
    <mergeCell ref="I48:J48"/>
    <mergeCell ref="E44:G44"/>
    <mergeCell ref="I50:J50"/>
    <mergeCell ref="A51:G51"/>
    <mergeCell ref="I51:J51"/>
    <mergeCell ref="L50:U50"/>
    <mergeCell ref="T51:U51"/>
    <mergeCell ref="E34:G34"/>
    <mergeCell ref="E35:G35"/>
    <mergeCell ref="E36:G36"/>
    <mergeCell ref="E37:G37"/>
    <mergeCell ref="A50:G50"/>
    <mergeCell ref="A49:G49"/>
    <mergeCell ref="E39:G39"/>
    <mergeCell ref="E38:G38"/>
    <mergeCell ref="N51:S51"/>
    <mergeCell ref="E25:G25"/>
    <mergeCell ref="E29:G29"/>
    <mergeCell ref="E30:G30"/>
    <mergeCell ref="E31:G31"/>
    <mergeCell ref="E32:G32"/>
    <mergeCell ref="E33:G33"/>
    <mergeCell ref="A47:G47"/>
    <mergeCell ref="I47:J47"/>
    <mergeCell ref="P11:U11"/>
    <mergeCell ref="CA12:CT12"/>
    <mergeCell ref="A13:D14"/>
    <mergeCell ref="H13:H14"/>
    <mergeCell ref="I14:M14"/>
    <mergeCell ref="P14:R14"/>
    <mergeCell ref="S14:U14"/>
    <mergeCell ref="X12:AI12"/>
    <mergeCell ref="AJ12:AN12"/>
    <mergeCell ref="AO12:AS12"/>
    <mergeCell ref="AT12:AX12"/>
    <mergeCell ref="AY12:BC12"/>
    <mergeCell ref="BP12:BZ12"/>
    <mergeCell ref="E12:G14"/>
    <mergeCell ref="I12:J12"/>
    <mergeCell ref="BD12:BH12"/>
    <mergeCell ref="BI12:BM12"/>
    <mergeCell ref="CU12:CY12"/>
    <mergeCell ref="CZ12:DD12"/>
    <mergeCell ref="K12:K13"/>
    <mergeCell ref="L12:L13"/>
    <mergeCell ref="M12:M13"/>
    <mergeCell ref="P12:U12"/>
    <mergeCell ref="A2:D3"/>
    <mergeCell ref="A9:U9"/>
    <mergeCell ref="A10:D10"/>
    <mergeCell ref="E10:G10"/>
    <mergeCell ref="I10:J10"/>
    <mergeCell ref="K10:L10"/>
    <mergeCell ref="E2:Q3"/>
    <mergeCell ref="N10:O10"/>
    <mergeCell ref="A5:B5"/>
    <mergeCell ref="C5:D5"/>
    <mergeCell ref="E5:F5"/>
    <mergeCell ref="G5:H5"/>
    <mergeCell ref="I5:J5"/>
    <mergeCell ref="A6:B6"/>
    <mergeCell ref="C6:D6"/>
    <mergeCell ref="E6:F6"/>
    <mergeCell ref="A4:H4"/>
    <mergeCell ref="A8:B8"/>
    <mergeCell ref="C8:D8"/>
    <mergeCell ref="E8:F8"/>
    <mergeCell ref="G8:H8"/>
    <mergeCell ref="H61:I61"/>
    <mergeCell ref="G6:H6"/>
    <mergeCell ref="A7:B7"/>
    <mergeCell ref="C7:D7"/>
    <mergeCell ref="E7:F7"/>
    <mergeCell ref="G7:H7"/>
    <mergeCell ref="E27:G27"/>
    <mergeCell ref="E28:G28"/>
    <mergeCell ref="E26:G26"/>
    <mergeCell ref="E15:G15"/>
    <mergeCell ref="E16:G16"/>
    <mergeCell ref="E17:G17"/>
    <mergeCell ref="E18:G18"/>
    <mergeCell ref="E19:G19"/>
    <mergeCell ref="E20:G20"/>
    <mergeCell ref="E21:G21"/>
    <mergeCell ref="E22:G22"/>
    <mergeCell ref="E23:G23"/>
    <mergeCell ref="E24:G24"/>
  </mergeCells>
  <conditionalFormatting sqref="A15:H15 D16:H37 A16:C44 D38:E38 H38 D39:H44">
    <cfRule type="expression" dxfId="951" priority="27">
      <formula>OR($C15="Orlov")</formula>
    </cfRule>
    <cfRule type="expression" dxfId="950" priority="2">
      <formula>OR($C15="Normal uge 6")</formula>
    </cfRule>
    <cfRule type="expression" dxfId="949" priority="3">
      <formula>OR($C15="Normal uge 5")</formula>
    </cfRule>
    <cfRule type="expression" dxfId="948" priority="41" stopIfTrue="1">
      <formula>OR($C15="Rul 2")</formula>
    </cfRule>
    <cfRule type="expression" dxfId="947" priority="40">
      <formula>OR($C15="weekend")</formula>
    </cfRule>
    <cfRule type="expression" dxfId="946" priority="39">
      <formula>OR($C15="feriedag")</formula>
    </cfRule>
    <cfRule type="expression" dxfId="945" priority="38">
      <formula>OR($C15="Ferieåbning")</formula>
    </cfRule>
    <cfRule type="expression" dxfId="944" priority="37">
      <formula>OR($C15="Anderledes dag")</formula>
    </cfRule>
    <cfRule type="expression" dxfId="943" priority="36">
      <formula>OR($C15="Koloni")</formula>
    </cfRule>
    <cfRule type="expression" dxfId="942" priority="35">
      <formula>OR($C15="ekskursion")</formula>
    </cfRule>
    <cfRule type="expression" dxfId="941" priority="34">
      <formula>OR($C15="SH-dag")</formula>
    </cfRule>
    <cfRule type="expression" dxfId="940" priority="33">
      <formula>OR($C15="nul-dag")</formula>
    </cfRule>
    <cfRule type="expression" dxfId="939" priority="16" stopIfTrue="1">
      <formula>OR($C15="Rul 6")</formula>
    </cfRule>
    <cfRule type="expression" dxfId="938" priority="17" stopIfTrue="1">
      <formula>OR($C15="Rul 5")</formula>
    </cfRule>
    <cfRule type="expression" dxfId="937" priority="18" stopIfTrue="1">
      <formula>OR($C15="Rul 4")</formula>
    </cfRule>
    <cfRule type="expression" dxfId="936" priority="19" stopIfTrue="1">
      <formula>OR($C15="Rul 3")</formula>
    </cfRule>
    <cfRule type="expression" dxfId="935" priority="20" stopIfTrue="1">
      <formula>OR($C15="Rul 1")</formula>
    </cfRule>
    <cfRule type="expression" dxfId="934" priority="21">
      <formula>OR($C15="Normal uge 1")</formula>
    </cfRule>
    <cfRule type="expression" dxfId="933" priority="32">
      <formula>OR($C15="pæd.dag")</formula>
    </cfRule>
    <cfRule type="expression" dxfId="932" priority="31">
      <formula>OR($C15="Ikke relevant")</formula>
    </cfRule>
    <cfRule type="expression" dxfId="931" priority="30">
      <formula>OR($C15="Normal uge 4")</formula>
    </cfRule>
    <cfRule type="expression" dxfId="930" priority="29">
      <formula>OR($C15="Normal uge 3")</formula>
    </cfRule>
    <cfRule type="expression" dxfId="929" priority="28">
      <formula>OR($C15="Normal uge 2")</formula>
    </cfRule>
  </conditionalFormatting>
  <conditionalFormatting sqref="E26">
    <cfRule type="expression" dxfId="928" priority="52">
      <formula>OR($D25="Ikke relevant")</formula>
    </cfRule>
    <cfRule type="expression" dxfId="927" priority="42">
      <formula>OR($D25="pæd.dag")</formula>
    </cfRule>
    <cfRule type="expression" dxfId="926" priority="50">
      <formula>OR($D25="weekend")</formula>
    </cfRule>
    <cfRule type="expression" dxfId="925" priority="49">
      <formula>OR($D25="feriedag")</formula>
    </cfRule>
    <cfRule type="expression" dxfId="924" priority="48">
      <formula>OR($D25="fagdag")</formula>
    </cfRule>
    <cfRule type="expression" dxfId="923" priority="47">
      <formula>OR($D25="emnedag")</formula>
    </cfRule>
    <cfRule type="expression" dxfId="922" priority="46">
      <formula>OR($D25="lejrskole")</formula>
    </cfRule>
    <cfRule type="expression" dxfId="921" priority="45">
      <formula>OR($D25="ekskursion")</formula>
    </cfRule>
    <cfRule type="expression" dxfId="920" priority="44">
      <formula>OR($D25="SH-dag")</formula>
    </cfRule>
    <cfRule type="expression" dxfId="919" priority="51" stopIfTrue="1">
      <formula>OR($D25="skoledag")</formula>
    </cfRule>
    <cfRule type="expression" dxfId="918" priority="43">
      <formula>OR($D25="nul-dag")</formula>
    </cfRule>
  </conditionalFormatting>
  <conditionalFormatting sqref="I15:J44">
    <cfRule type="expression" dxfId="917" priority="25">
      <formula>OR($C15="Koloni",)</formula>
    </cfRule>
    <cfRule type="expression" dxfId="916" priority="15" stopIfTrue="1">
      <formula>OR($C15="Ferieåbning",)</formula>
    </cfRule>
    <cfRule type="expression" dxfId="915" priority="14">
      <formula>OR($C15="Anderledes dag",)</formula>
    </cfRule>
    <cfRule type="expression" dxfId="914" priority="13">
      <formula>OR($C15="Ekskursion",)</formula>
    </cfRule>
  </conditionalFormatting>
  <conditionalFormatting sqref="J15:J44">
    <cfRule type="expression" dxfId="913" priority="26">
      <formula>OR($C15="Pæd.dag",)</formula>
    </cfRule>
  </conditionalFormatting>
  <conditionalFormatting sqref="M15:M44">
    <cfRule type="expression" dxfId="912" priority="53">
      <formula>OR($H15&gt;"0",)</formula>
    </cfRule>
  </conditionalFormatting>
  <conditionalFormatting sqref="O15:O44">
    <cfRule type="expression" dxfId="910" priority="8">
      <formula>OR($N15&gt;0,)</formula>
    </cfRule>
  </conditionalFormatting>
  <conditionalFormatting sqref="S15:S44">
    <cfRule type="expression" dxfId="909" priority="24">
      <formula>OR($P15="X",)</formula>
    </cfRule>
  </conditionalFormatting>
  <conditionalFormatting sqref="T15:T44">
    <cfRule type="expression" dxfId="908" priority="23">
      <formula>OR($Q15="X",)</formula>
    </cfRule>
  </conditionalFormatting>
  <conditionalFormatting sqref="T52:T55">
    <cfRule type="expression" dxfId="907" priority="5">
      <formula>OR($L52&gt;0,)</formula>
    </cfRule>
  </conditionalFormatting>
  <conditionalFormatting sqref="U15:U44">
    <cfRule type="expression" dxfId="906" priority="22">
      <formula>OR($R15="X",)</formula>
    </cfRule>
  </conditionalFormatting>
  <conditionalFormatting sqref="U52:U53 U55">
    <cfRule type="expression" dxfId="905" priority="10">
      <formula>OR($M52&gt;0,)</formula>
    </cfRule>
  </conditionalFormatting>
  <conditionalFormatting sqref="U54:W54">
    <cfRule type="expression" dxfId="904" priority="6">
      <formula>OR($M54&gt;0,)</formula>
    </cfRule>
  </conditionalFormatting>
  <conditionalFormatting sqref="BN55:BN57">
    <cfRule type="expression" dxfId="903" priority="1">
      <formula>OR(#REF!&gt;0,)</formula>
    </cfRule>
  </conditionalFormatting>
  <conditionalFormatting sqref="BP54">
    <cfRule type="expression" dxfId="902" priority="7">
      <formula>OR(#REF!&gt;0,)</formula>
    </cfRule>
  </conditionalFormatting>
  <conditionalFormatting sqref="BR57">
    <cfRule type="expression" dxfId="901" priority="54">
      <formula>OR(#REF!&gt;0,)</formula>
    </cfRule>
  </conditionalFormatting>
  <dataValidations count="3">
    <dataValidation type="list" allowBlank="1" showInputMessage="1" showErrorMessage="1" sqref="R15:R43 P15:Q44 L52:M53 L55:M55" xr:uid="{F8FF9650-3150-114E-80E7-126DF1BBD848}">
      <formula1>$Y$1:$Y$2</formula1>
    </dataValidation>
    <dataValidation type="list" allowBlank="1" showInputMessage="1" sqref="C15:C44" xr:uid="{F1E821DC-77EC-B846-9FF7-F2BDE32C7E8C}">
      <formula1>$A$59:$A$81</formula1>
    </dataValidation>
    <dataValidation type="list" allowBlank="1" showInputMessage="1" showErrorMessage="1" sqref="L54:M54" xr:uid="{99F4EF52-A261-DC4D-AE94-855C80949675}">
      <formula1>$AA$1:$AA$2</formula1>
    </dataValidation>
  </dataValidations>
  <hyperlinks>
    <hyperlink ref="A5:B5" location="'Normal uger'!A11" display="Normale uger" xr:uid="{2D255A0A-C81B-7F4A-A381-9C9FBEC968DA}"/>
    <hyperlink ref="C5:D5" location="Rul!B20" display="Rul" xr:uid="{7A6FEFBF-A8E1-1141-A6E1-EDD8657B3B21}"/>
    <hyperlink ref="E5:F5" location="Arbejdstidsoversigt!A19" display="Arbejdstids-oversigt" xr:uid="{97B4FD47-9E85-9840-9565-657E5E5A29D3}"/>
    <hyperlink ref="G5:H5" location="Opgørelse!B12" display="Opgørelse" xr:uid="{36CEAAC5-2714-5340-9053-35E016CF7D21}"/>
    <hyperlink ref="A6:B6" location="August!A12" display="August" xr:uid="{AD66D395-522F-D147-A00C-CC8925A636CF}"/>
    <hyperlink ref="C6:D6" location="September!A8" display="September" xr:uid="{E9B5B1ED-B849-D14D-95FE-2A27F05DC14B}"/>
    <hyperlink ref="E6:F6" location="Oktober!A8" display="Oktober" xr:uid="{028B95E4-56D3-EE44-B6EC-7CDFFBB82F27}"/>
    <hyperlink ref="G6:H6" location="November!A8" display="November" xr:uid="{F6C3B98A-C3B2-4F43-9FBF-F8350B504430}"/>
    <hyperlink ref="A7:B7" location="December!A8" display="December" xr:uid="{5CC5274F-F578-6546-860F-A81ABD0747D6}"/>
    <hyperlink ref="C7:D7" location="Januar!A8" display="Januar" xr:uid="{07D05C9B-677E-E243-8666-DB6EBF9FA98D}"/>
    <hyperlink ref="E7:F7" location="Februar!A8" display="Februar" xr:uid="{986FF624-7211-D64E-8F18-EBE0F4CE3CC2}"/>
    <hyperlink ref="A8:B8" location="April!A8" display="April" xr:uid="{0A8FE982-583F-3D40-A758-26686386E498}"/>
    <hyperlink ref="C8:D8" location="Maj!A8" display="Maj" xr:uid="{0B7B4012-9252-EB45-95DA-738D861C7833}"/>
    <hyperlink ref="E8:F8" location="Juni!A8" display="Juni" xr:uid="{39D7FF9B-AC18-0149-9A99-6E167844E047}"/>
    <hyperlink ref="G8:H8" location="Juli!A8" display="Juli" xr:uid="{7DF2103C-279F-4646-AD09-83278D12B296}"/>
    <hyperlink ref="G7:H7" location="Marts!A8" display="Marts" xr:uid="{3BB26A3C-F72E-364D-B9FE-A06BA41AEF09}"/>
    <hyperlink ref="I5:J5" location="Stamoplysninger!E18" display="Stamoplysninger" xr:uid="{2AAEB8B7-8BE7-9944-BF8A-EFC6655EBC83}"/>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994B13AA-03F1-3542-8837-EB0E5A610A02}">
            <xm:f>OR(Arbejdstidsoversigt!$H$54="Puljetimer registreres ikke men afvikles jævnt hen over normperioden",)</xm:f>
            <x14:dxf>
              <fill>
                <patternFill>
                  <bgColor theme="1"/>
                </patternFill>
              </fill>
            </x14:dxf>
          </x14:cfRule>
          <xm:sqref>N15:N44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F454-8BDE-A444-B6E3-9A105AECB0F0}">
  <sheetPr>
    <tabColor theme="4" tint="-0.249977111117893"/>
    <pageSetUpPr fitToPage="1"/>
  </sheetPr>
  <dimension ref="A1:DO128"/>
  <sheetViews>
    <sheetView topLeftCell="A3" zoomScaleNormal="100" workbookViewId="0">
      <selection activeCell="I15" sqref="I15:J24"/>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98" width="10.83203125" hidden="1" customWidth="1"/>
    <col min="99" max="99" width="12.5" hidden="1" customWidth="1"/>
    <col min="100" max="114" width="10.83203125" hidden="1" customWidth="1"/>
    <col min="115" max="115" width="28" hidden="1" customWidth="1"/>
    <col min="116" max="119" width="10.83203125" hidden="1" customWidth="1"/>
    <col min="120" max="120" width="10.83203125" customWidth="1"/>
    <col min="121" max="121" width="31.1640625" customWidth="1"/>
    <col min="122" max="135" width="10.83203125" customWidth="1"/>
  </cols>
  <sheetData>
    <row r="1" spans="1:116" ht="16" customHeight="1">
      <c r="A1" s="209" t="e">
        <f>#REF!</f>
        <v>#REF!</v>
      </c>
      <c r="B1" s="56"/>
      <c r="C1" s="56"/>
      <c r="D1" s="56"/>
      <c r="E1" s="56"/>
      <c r="F1" s="56"/>
      <c r="G1" s="56"/>
      <c r="H1" s="158"/>
      <c r="I1" s="157"/>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44" customHeight="1">
      <c r="A2" s="886">
        <v>7</v>
      </c>
      <c r="B2" s="886"/>
      <c r="C2" s="886"/>
      <c r="D2" s="886"/>
      <c r="E2" s="963" t="s">
        <v>299</v>
      </c>
      <c r="F2" s="963"/>
      <c r="G2" s="963"/>
      <c r="H2" s="963"/>
      <c r="I2" s="963"/>
      <c r="J2" s="963"/>
      <c r="K2" s="963"/>
      <c r="L2" s="963"/>
      <c r="M2" s="963"/>
      <c r="N2" s="963"/>
      <c r="O2" s="963"/>
      <c r="P2" s="963"/>
      <c r="Q2" s="963"/>
      <c r="R2" s="56"/>
      <c r="S2" s="56"/>
      <c r="T2" s="56"/>
      <c r="U2" s="56"/>
      <c r="V2" s="56"/>
      <c r="W2" s="56"/>
      <c r="X2" s="56"/>
      <c r="Y2" s="68" t="s">
        <v>28</v>
      </c>
      <c r="Z2" s="56"/>
      <c r="AA2" s="136"/>
      <c r="AB2" s="56"/>
      <c r="AD2" s="56"/>
      <c r="AE2" s="56"/>
      <c r="AP2" s="56"/>
      <c r="AQ2" s="56"/>
      <c r="BR2" s="56"/>
      <c r="BS2" s="136"/>
      <c r="BT2" s="136"/>
      <c r="BV2" s="56"/>
      <c r="CG2" s="56"/>
      <c r="CH2" s="56"/>
    </row>
    <row r="3" spans="1:116" ht="68" customHeight="1">
      <c r="A3" s="886"/>
      <c r="B3" s="886"/>
      <c r="C3" s="886"/>
      <c r="D3" s="886"/>
      <c r="E3" s="963"/>
      <c r="F3" s="963"/>
      <c r="G3" s="963"/>
      <c r="H3" s="963"/>
      <c r="I3" s="963"/>
      <c r="J3" s="963"/>
      <c r="K3" s="963"/>
      <c r="L3" s="963"/>
      <c r="M3" s="963"/>
      <c r="N3" s="963"/>
      <c r="O3" s="963"/>
      <c r="P3" s="963"/>
      <c r="Q3" s="963"/>
      <c r="R3" s="56"/>
      <c r="S3" s="56"/>
      <c r="T3" s="56"/>
      <c r="U3" s="56"/>
      <c r="V3" s="56"/>
      <c r="W3" s="56"/>
      <c r="X3" s="56"/>
      <c r="Y3" s="68"/>
      <c r="Z3" s="68"/>
      <c r="AA3" s="136"/>
      <c r="AB3" s="56"/>
      <c r="AD3" s="56"/>
      <c r="AE3" s="56"/>
      <c r="AP3" s="56"/>
      <c r="AQ3" s="56"/>
      <c r="BR3" s="68"/>
      <c r="BS3" s="136"/>
      <c r="BT3" s="136"/>
      <c r="BV3" s="56"/>
      <c r="CG3" s="56"/>
      <c r="CH3" s="56"/>
    </row>
    <row r="4" spans="1:116" ht="25" customHeight="1" thickBot="1">
      <c r="A4" s="735" t="s">
        <v>496</v>
      </c>
      <c r="B4" s="735"/>
      <c r="C4" s="735"/>
      <c r="D4" s="735"/>
      <c r="E4" s="735"/>
      <c r="F4" s="735"/>
      <c r="G4" s="735"/>
      <c r="H4" s="735"/>
      <c r="I4" s="707"/>
      <c r="J4" s="707"/>
      <c r="K4" s="685"/>
      <c r="L4" s="685"/>
      <c r="M4" s="685"/>
      <c r="N4" s="685"/>
      <c r="O4" s="685"/>
      <c r="P4" s="640"/>
      <c r="Q4" s="640"/>
      <c r="R4" s="640"/>
      <c r="S4" s="640"/>
      <c r="T4" s="640"/>
      <c r="U4" s="640"/>
      <c r="V4" s="640"/>
      <c r="W4" s="640"/>
      <c r="X4" s="640"/>
      <c r="AA4"/>
      <c r="AB4"/>
      <c r="AT4" s="33"/>
      <c r="BS4"/>
      <c r="BT4"/>
    </row>
    <row r="5" spans="1:116" ht="48" customHeight="1" thickBot="1">
      <c r="A5" s="854" t="s">
        <v>493</v>
      </c>
      <c r="B5" s="855"/>
      <c r="C5" s="753" t="s">
        <v>469</v>
      </c>
      <c r="D5" s="754"/>
      <c r="E5" s="731" t="s">
        <v>495</v>
      </c>
      <c r="F5" s="732"/>
      <c r="G5" s="733" t="s">
        <v>161</v>
      </c>
      <c r="H5" s="734"/>
      <c r="I5" s="785" t="s">
        <v>492</v>
      </c>
      <c r="J5" s="786"/>
      <c r="K5" s="701"/>
      <c r="AA5"/>
      <c r="AB5"/>
      <c r="BS5"/>
      <c r="BT5"/>
    </row>
    <row r="6" spans="1:116" ht="30" customHeight="1" thickBot="1">
      <c r="A6" s="730" t="s">
        <v>117</v>
      </c>
      <c r="B6" s="730"/>
      <c r="C6" s="730" t="s">
        <v>119</v>
      </c>
      <c r="D6" s="730"/>
      <c r="E6" s="730" t="s">
        <v>120</v>
      </c>
      <c r="F6" s="730"/>
      <c r="G6" s="730" t="s">
        <v>121</v>
      </c>
      <c r="H6" s="730"/>
      <c r="AA6"/>
      <c r="AB6"/>
      <c r="BS6"/>
      <c r="BT6"/>
    </row>
    <row r="7" spans="1:116" ht="44" customHeight="1" thickBot="1">
      <c r="A7" s="730" t="s">
        <v>130</v>
      </c>
      <c r="B7" s="730"/>
      <c r="C7" s="730" t="s">
        <v>131</v>
      </c>
      <c r="D7" s="730"/>
      <c r="E7" s="730" t="s">
        <v>132</v>
      </c>
      <c r="F7" s="730"/>
      <c r="G7" s="730" t="s">
        <v>133</v>
      </c>
      <c r="H7" s="730"/>
      <c r="AA7"/>
      <c r="AB7"/>
      <c r="BS7"/>
      <c r="BT7"/>
    </row>
    <row r="8" spans="1:116" ht="30" customHeight="1" thickBot="1">
      <c r="A8" s="730" t="s">
        <v>134</v>
      </c>
      <c r="B8" s="730"/>
      <c r="C8" s="730" t="s">
        <v>135</v>
      </c>
      <c r="D8" s="730"/>
      <c r="E8" s="730" t="s">
        <v>136</v>
      </c>
      <c r="F8" s="730"/>
      <c r="G8" s="730" t="s">
        <v>137</v>
      </c>
      <c r="H8" s="730"/>
      <c r="AA8"/>
      <c r="AB8"/>
      <c r="BS8"/>
      <c r="BT8"/>
    </row>
    <row r="9" spans="1:116" ht="17" thickBot="1">
      <c r="A9" s="890" t="s">
        <v>143</v>
      </c>
      <c r="B9" s="891"/>
      <c r="C9" s="891"/>
      <c r="D9" s="891"/>
      <c r="E9" s="891"/>
      <c r="F9" s="891"/>
      <c r="G9" s="891"/>
      <c r="H9" s="891"/>
      <c r="I9" s="891"/>
      <c r="J9" s="891"/>
      <c r="K9" s="891"/>
      <c r="L9" s="891"/>
      <c r="M9" s="891"/>
      <c r="N9" s="891"/>
      <c r="O9" s="891"/>
      <c r="P9" s="891"/>
      <c r="Q9" s="891"/>
      <c r="R9" s="891"/>
      <c r="S9" s="891"/>
      <c r="T9" s="891"/>
      <c r="U9" s="892"/>
      <c r="V9" s="380"/>
      <c r="W9" s="366"/>
      <c r="X9" s="366"/>
      <c r="Y9" s="366"/>
      <c r="Z9" s="367"/>
      <c r="AA9"/>
      <c r="AB9" s="56"/>
      <c r="AC9" s="56"/>
      <c r="AM9" s="56"/>
      <c r="AN9" s="56"/>
      <c r="AO9" s="56"/>
      <c r="BS9"/>
      <c r="BT9"/>
      <c r="BU9" s="56"/>
      <c r="CD9" s="56"/>
      <c r="CE9" s="56"/>
      <c r="CF9" s="56"/>
    </row>
    <row r="10" spans="1:116" ht="198" customHeight="1" thickBot="1">
      <c r="A10" s="926" t="s">
        <v>249</v>
      </c>
      <c r="B10" s="927"/>
      <c r="C10" s="927"/>
      <c r="D10" s="927"/>
      <c r="E10" s="902" t="s">
        <v>144</v>
      </c>
      <c r="F10" s="902"/>
      <c r="G10" s="902"/>
      <c r="H10" s="381" t="s">
        <v>252</v>
      </c>
      <c r="I10" s="901" t="str">
        <f>August!I15</f>
        <v xml:space="preserve">Hvis den pågældende dag er en anderledes dag, ferieåbning, kolonidag eller ekskursionsdag bliver cellerne herunder gule. Er dagen en pædagogisk dag er det dog kun kolonne "J" der bliver gult. Tast i de gule felter. </v>
      </c>
      <c r="J10" s="901"/>
      <c r="K10" s="889" t="s">
        <v>293</v>
      </c>
      <c r="L10" s="889"/>
      <c r="M10" s="382" t="s">
        <v>184</v>
      </c>
      <c r="N10" s="898" t="s">
        <v>401</v>
      </c>
      <c r="O10" s="898"/>
      <c r="P10" s="383" t="s">
        <v>294</v>
      </c>
      <c r="Q10" s="383" t="s">
        <v>253</v>
      </c>
      <c r="R10" s="383" t="s">
        <v>254</v>
      </c>
      <c r="S10" s="384" t="s">
        <v>255</v>
      </c>
      <c r="T10" s="384" t="s">
        <v>295</v>
      </c>
      <c r="U10" s="385" t="s">
        <v>173</v>
      </c>
      <c r="V10" s="136"/>
      <c r="W10" s="56"/>
      <c r="Y10" s="56"/>
      <c r="Z10" s="56"/>
      <c r="AA10"/>
      <c r="AB10"/>
      <c r="AK10" s="56"/>
      <c r="AL10" s="56"/>
      <c r="BQ10" s="56"/>
      <c r="BR10" s="56"/>
      <c r="BS10"/>
      <c r="BT10"/>
      <c r="CB10" s="56"/>
      <c r="CC10" s="56"/>
    </row>
    <row r="11" spans="1:116" ht="26" thickBot="1">
      <c r="A11" s="932" t="str">
        <f>""&amp;A13&amp;" måneds kalender for: "&amp;Stamoplysninger!E14&amp;". Måneden vedr. normperioden: "&amp;Stamoplysninger!E17&amp;" - "&amp;Stamoplysninger!G17&amp;"."</f>
        <v>Juli måneds kalender for: . Måneden vedr. normperioden:  - .</v>
      </c>
      <c r="B11" s="933"/>
      <c r="C11" s="933"/>
      <c r="D11" s="933"/>
      <c r="E11" s="933"/>
      <c r="F11" s="933"/>
      <c r="G11" s="933"/>
      <c r="H11" s="933"/>
      <c r="I11" s="933"/>
      <c r="J11" s="933"/>
      <c r="K11" s="933"/>
      <c r="L11" s="933"/>
      <c r="M11" s="964"/>
      <c r="N11" s="894" t="s">
        <v>271</v>
      </c>
      <c r="O11" s="895"/>
      <c r="P11" s="894" t="s">
        <v>142</v>
      </c>
      <c r="Q11" s="899"/>
      <c r="R11" s="899"/>
      <c r="S11" s="899"/>
      <c r="T11" s="899"/>
      <c r="U11" s="895"/>
      <c r="V11" s="136"/>
      <c r="W11" s="56"/>
      <c r="Y11" s="56"/>
      <c r="Z11" s="56"/>
      <c r="AA11"/>
      <c r="AB11"/>
      <c r="AK11" s="56"/>
      <c r="AL11" s="56"/>
      <c r="BQ11" s="56"/>
      <c r="BR11" s="56"/>
      <c r="BS11"/>
      <c r="BT11"/>
      <c r="CB11" s="56"/>
      <c r="CC11" s="56"/>
    </row>
    <row r="12" spans="1:116" ht="47" customHeight="1">
      <c r="A12" s="200">
        <f>Januar!A12</f>
        <v>2026</v>
      </c>
      <c r="B12" s="132"/>
      <c r="C12" s="133"/>
      <c r="D12" s="134"/>
      <c r="E12" s="905" t="s">
        <v>250</v>
      </c>
      <c r="F12" s="906"/>
      <c r="G12" s="907"/>
      <c r="H12" s="197" t="s">
        <v>146</v>
      </c>
      <c r="I12" s="903" t="str">
        <f>August!I17</f>
        <v>Anderledes dage, ferieåbning, koloni, ekskursionsdag og pæd.dage.</v>
      </c>
      <c r="J12" s="904"/>
      <c r="K12" s="887" t="s">
        <v>230</v>
      </c>
      <c r="L12" s="887" t="s">
        <v>231</v>
      </c>
      <c r="M12" s="870" t="s">
        <v>203</v>
      </c>
      <c r="N12" s="896" t="s">
        <v>274</v>
      </c>
      <c r="O12" s="897"/>
      <c r="P12" s="864" t="s">
        <v>256</v>
      </c>
      <c r="Q12" s="865"/>
      <c r="R12" s="865"/>
      <c r="S12" s="865"/>
      <c r="T12" s="865"/>
      <c r="U12" s="866"/>
      <c r="V12" s="116"/>
      <c r="W12" s="116"/>
      <c r="X12" s="925" t="s">
        <v>224</v>
      </c>
      <c r="Y12" s="925"/>
      <c r="Z12" s="925"/>
      <c r="AA12" s="925"/>
      <c r="AB12" s="925"/>
      <c r="AC12" s="925"/>
      <c r="AD12" s="925"/>
      <c r="AE12" s="925"/>
      <c r="AF12" s="925"/>
      <c r="AG12" s="925"/>
      <c r="AH12" s="925"/>
      <c r="AI12" s="925"/>
      <c r="AJ12" s="928" t="s">
        <v>229</v>
      </c>
      <c r="AK12" s="928"/>
      <c r="AL12" s="928"/>
      <c r="AM12" s="928"/>
      <c r="AN12" s="928"/>
      <c r="AO12" s="929" t="s">
        <v>232</v>
      </c>
      <c r="AP12" s="929"/>
      <c r="AQ12" s="929"/>
      <c r="AR12" s="929"/>
      <c r="AS12" s="929"/>
      <c r="AT12" s="930" t="s">
        <v>233</v>
      </c>
      <c r="AU12" s="930"/>
      <c r="AV12" s="930"/>
      <c r="AW12" s="930"/>
      <c r="AX12" s="930"/>
      <c r="AY12" s="931" t="s">
        <v>234</v>
      </c>
      <c r="AZ12" s="931"/>
      <c r="BA12" s="931"/>
      <c r="BB12" s="931"/>
      <c r="BC12" s="931"/>
      <c r="BD12" s="856" t="s">
        <v>408</v>
      </c>
      <c r="BE12" s="856"/>
      <c r="BF12" s="856"/>
      <c r="BG12" s="856"/>
      <c r="BH12" s="856"/>
      <c r="BI12" s="857" t="s">
        <v>409</v>
      </c>
      <c r="BJ12" s="857"/>
      <c r="BK12" s="857"/>
      <c r="BL12" s="857"/>
      <c r="BM12" s="857"/>
      <c r="BN12" s="176"/>
      <c r="BO12" s="114"/>
      <c r="BP12" s="925" t="s">
        <v>235</v>
      </c>
      <c r="BQ12" s="925"/>
      <c r="BR12" s="925"/>
      <c r="BS12" s="925"/>
      <c r="BT12" s="925"/>
      <c r="BU12" s="925"/>
      <c r="BV12" s="925"/>
      <c r="BW12" s="925"/>
      <c r="BX12" s="925"/>
      <c r="BY12" s="925"/>
      <c r="BZ12" s="925"/>
      <c r="CA12" s="925" t="s">
        <v>236</v>
      </c>
      <c r="CB12" s="925"/>
      <c r="CC12" s="925"/>
      <c r="CD12" s="925"/>
      <c r="CE12" s="925"/>
      <c r="CF12" s="925"/>
      <c r="CG12" s="925"/>
      <c r="CH12" s="925"/>
      <c r="CI12" s="925"/>
      <c r="CJ12" s="925"/>
      <c r="CK12" s="925"/>
      <c r="CL12" s="925"/>
      <c r="CM12" s="925"/>
      <c r="CN12" s="925"/>
      <c r="CO12" s="925"/>
      <c r="CP12" s="925"/>
      <c r="CQ12" s="925"/>
      <c r="CR12" s="925"/>
      <c r="CS12" s="925"/>
      <c r="CT12" s="925"/>
      <c r="CU12" s="856" t="s">
        <v>408</v>
      </c>
      <c r="CV12" s="856"/>
      <c r="CW12" s="856"/>
      <c r="CX12" s="856"/>
      <c r="CY12" s="856"/>
      <c r="CZ12" s="857" t="s">
        <v>409</v>
      </c>
      <c r="DA12" s="857"/>
      <c r="DB12" s="857"/>
      <c r="DC12" s="857"/>
      <c r="DD12" s="857"/>
    </row>
    <row r="13" spans="1:116" ht="160" customHeight="1">
      <c r="A13" s="934" t="s">
        <v>137</v>
      </c>
      <c r="B13" s="935"/>
      <c r="C13" s="935"/>
      <c r="D13" s="936"/>
      <c r="E13" s="908"/>
      <c r="F13" s="909"/>
      <c r="G13" s="910"/>
      <c r="H13" s="914" t="s">
        <v>251</v>
      </c>
      <c r="I13" s="199" t="s">
        <v>259</v>
      </c>
      <c r="J13" s="199" t="s">
        <v>258</v>
      </c>
      <c r="K13" s="888"/>
      <c r="L13" s="888"/>
      <c r="M13" s="871"/>
      <c r="N13" s="409" t="s">
        <v>275</v>
      </c>
      <c r="O13" s="410" t="s">
        <v>276</v>
      </c>
      <c r="P13" s="284" t="s">
        <v>241</v>
      </c>
      <c r="Q13" s="198" t="s">
        <v>260</v>
      </c>
      <c r="R13" s="198" t="s">
        <v>174</v>
      </c>
      <c r="S13" s="258" t="s">
        <v>261</v>
      </c>
      <c r="T13" s="258" t="s">
        <v>262</v>
      </c>
      <c r="U13" s="259" t="s">
        <v>263</v>
      </c>
      <c r="V13" s="116" t="s">
        <v>128</v>
      </c>
      <c r="W13" s="116" t="s">
        <v>129</v>
      </c>
      <c r="X13" s="177" t="s">
        <v>228</v>
      </c>
      <c r="Y13" t="s">
        <v>370</v>
      </c>
      <c r="Z13" t="s">
        <v>83</v>
      </c>
      <c r="AA13" t="s">
        <v>82</v>
      </c>
      <c r="AB13" t="s">
        <v>227</v>
      </c>
      <c r="AC13" t="s">
        <v>176</v>
      </c>
      <c r="AD13" t="s">
        <v>218</v>
      </c>
      <c r="AE13" t="s">
        <v>219</v>
      </c>
      <c r="AF13" t="s">
        <v>220</v>
      </c>
      <c r="AG13" t="s">
        <v>221</v>
      </c>
      <c r="AH13" t="s">
        <v>222</v>
      </c>
      <c r="AI13" t="s">
        <v>223</v>
      </c>
      <c r="AJ13" s="359" t="s">
        <v>31</v>
      </c>
      <c r="AK13" s="359" t="s">
        <v>32</v>
      </c>
      <c r="AL13" s="359" t="s">
        <v>33</v>
      </c>
      <c r="AM13" s="359" t="s">
        <v>34</v>
      </c>
      <c r="AN13" s="359" t="s">
        <v>35</v>
      </c>
      <c r="AO13" s="360" t="s">
        <v>31</v>
      </c>
      <c r="AP13" s="360" t="s">
        <v>32</v>
      </c>
      <c r="AQ13" s="360" t="s">
        <v>33</v>
      </c>
      <c r="AR13" s="360" t="s">
        <v>34</v>
      </c>
      <c r="AS13" s="360" t="s">
        <v>35</v>
      </c>
      <c r="AT13" s="361" t="s">
        <v>31</v>
      </c>
      <c r="AU13" s="361" t="s">
        <v>32</v>
      </c>
      <c r="AV13" s="361" t="s">
        <v>33</v>
      </c>
      <c r="AW13" s="361" t="s">
        <v>34</v>
      </c>
      <c r="AX13" s="361" t="s">
        <v>35</v>
      </c>
      <c r="AY13" s="362" t="s">
        <v>31</v>
      </c>
      <c r="AZ13" s="362" t="s">
        <v>32</v>
      </c>
      <c r="BA13" s="362" t="s">
        <v>33</v>
      </c>
      <c r="BB13" s="362" t="s">
        <v>34</v>
      </c>
      <c r="BC13" s="362" t="s">
        <v>35</v>
      </c>
      <c r="BD13" s="655" t="s">
        <v>31</v>
      </c>
      <c r="BE13" s="655" t="s">
        <v>32</v>
      </c>
      <c r="BF13" s="655" t="s">
        <v>33</v>
      </c>
      <c r="BG13" s="655" t="s">
        <v>34</v>
      </c>
      <c r="BH13" s="655" t="s">
        <v>35</v>
      </c>
      <c r="BI13" s="654" t="s">
        <v>31</v>
      </c>
      <c r="BJ13" s="654" t="s">
        <v>32</v>
      </c>
      <c r="BK13" s="654" t="s">
        <v>33</v>
      </c>
      <c r="BL13" s="654" t="s">
        <v>34</v>
      </c>
      <c r="BM13" s="654" t="s">
        <v>35</v>
      </c>
      <c r="BN13" t="s">
        <v>239</v>
      </c>
      <c r="BO13" s="124" t="s">
        <v>110</v>
      </c>
      <c r="BP13" s="177" t="s">
        <v>228</v>
      </c>
      <c r="BQ13" t="s">
        <v>370</v>
      </c>
      <c r="BR13" t="s">
        <v>83</v>
      </c>
      <c r="BS13" t="s">
        <v>82</v>
      </c>
      <c r="BT13" t="s">
        <v>227</v>
      </c>
      <c r="BU13" t="s">
        <v>218</v>
      </c>
      <c r="BV13" t="s">
        <v>219</v>
      </c>
      <c r="BW13" t="s">
        <v>220</v>
      </c>
      <c r="BX13" t="s">
        <v>221</v>
      </c>
      <c r="BY13" t="s">
        <v>222</v>
      </c>
      <c r="BZ13" t="s">
        <v>223</v>
      </c>
      <c r="CA13" s="359" t="s">
        <v>31</v>
      </c>
      <c r="CB13" s="359" t="s">
        <v>32</v>
      </c>
      <c r="CC13" s="359" t="s">
        <v>33</v>
      </c>
      <c r="CD13" s="359" t="s">
        <v>34</v>
      </c>
      <c r="CE13" s="359" t="s">
        <v>35</v>
      </c>
      <c r="CF13" s="360" t="s">
        <v>31</v>
      </c>
      <c r="CG13" s="360" t="s">
        <v>32</v>
      </c>
      <c r="CH13" s="360" t="s">
        <v>33</v>
      </c>
      <c r="CI13" s="360" t="s">
        <v>34</v>
      </c>
      <c r="CJ13" s="360" t="s">
        <v>35</v>
      </c>
      <c r="CK13" s="361" t="s">
        <v>31</v>
      </c>
      <c r="CL13" s="361" t="s">
        <v>32</v>
      </c>
      <c r="CM13" s="361" t="s">
        <v>33</v>
      </c>
      <c r="CN13" s="361" t="s">
        <v>34</v>
      </c>
      <c r="CO13" s="361" t="s">
        <v>35</v>
      </c>
      <c r="CP13" s="362" t="s">
        <v>31</v>
      </c>
      <c r="CQ13" s="362" t="s">
        <v>32</v>
      </c>
      <c r="CR13" s="362" t="s">
        <v>33</v>
      </c>
      <c r="CS13" s="362" t="s">
        <v>34</v>
      </c>
      <c r="CT13" s="362" t="s">
        <v>35</v>
      </c>
      <c r="CU13" s="655" t="s">
        <v>31</v>
      </c>
      <c r="CV13" s="655" t="s">
        <v>32</v>
      </c>
      <c r="CW13" s="655" t="s">
        <v>33</v>
      </c>
      <c r="CX13" s="655" t="s">
        <v>34</v>
      </c>
      <c r="CY13" s="655" t="s">
        <v>35</v>
      </c>
      <c r="CZ13" s="654" t="s">
        <v>31</v>
      </c>
      <c r="DA13" s="654" t="s">
        <v>32</v>
      </c>
      <c r="DB13" s="654" t="s">
        <v>33</v>
      </c>
      <c r="DC13" s="654" t="s">
        <v>34</v>
      </c>
      <c r="DD13" s="654" t="s">
        <v>35</v>
      </c>
      <c r="DE13" s="62" t="s">
        <v>240</v>
      </c>
    </row>
    <row r="14" spans="1:116" ht="36" customHeight="1">
      <c r="A14" s="937"/>
      <c r="B14" s="938"/>
      <c r="C14" s="938"/>
      <c r="D14" s="939"/>
      <c r="E14" s="911"/>
      <c r="F14" s="912"/>
      <c r="G14" s="913"/>
      <c r="H14" s="888"/>
      <c r="I14" s="900" t="s">
        <v>147</v>
      </c>
      <c r="J14" s="868"/>
      <c r="K14" s="868"/>
      <c r="L14" s="868"/>
      <c r="M14" s="893"/>
      <c r="N14" s="867" t="s">
        <v>272</v>
      </c>
      <c r="O14" s="893"/>
      <c r="P14" s="867" t="s">
        <v>162</v>
      </c>
      <c r="Q14" s="868"/>
      <c r="R14" s="869"/>
      <c r="S14" s="900" t="s">
        <v>163</v>
      </c>
      <c r="T14" s="868"/>
      <c r="U14" s="893"/>
      <c r="V14" s="116"/>
      <c r="W14" s="116"/>
      <c r="X14" s="177"/>
      <c r="AA14"/>
      <c r="AB14"/>
      <c r="AJ14" s="359"/>
      <c r="AK14" s="359"/>
      <c r="AL14" s="359"/>
      <c r="AM14" s="359"/>
      <c r="AN14" s="359"/>
      <c r="AO14" s="360"/>
      <c r="AP14" s="360"/>
      <c r="AQ14" s="360"/>
      <c r="AR14" s="360"/>
      <c r="AS14" s="360"/>
      <c r="AT14" s="361"/>
      <c r="AU14" s="361"/>
      <c r="AV14" s="361"/>
      <c r="AW14" s="361"/>
      <c r="AX14" s="361"/>
      <c r="AY14" s="362"/>
      <c r="AZ14" s="362"/>
      <c r="BA14" s="362"/>
      <c r="BB14" s="362"/>
      <c r="BC14" s="362"/>
      <c r="BD14" s="655"/>
      <c r="BE14" s="655"/>
      <c r="BF14" s="655"/>
      <c r="BG14" s="655"/>
      <c r="BH14" s="655"/>
      <c r="BI14" s="654"/>
      <c r="BJ14" s="654"/>
      <c r="BK14" s="654"/>
      <c r="BL14" s="654"/>
      <c r="BM14" s="654"/>
      <c r="BO14" s="124"/>
      <c r="BP14" s="177"/>
      <c r="BS14"/>
      <c r="BT14"/>
      <c r="CA14" s="359"/>
      <c r="CB14" s="359"/>
      <c r="CC14" s="359"/>
      <c r="CD14" s="359"/>
      <c r="CE14" s="359"/>
      <c r="CF14" s="360"/>
      <c r="CG14" s="360"/>
      <c r="CH14" s="360"/>
      <c r="CI14" s="360"/>
      <c r="CJ14" s="360"/>
      <c r="CK14" s="361"/>
      <c r="CL14" s="361"/>
      <c r="CM14" s="361"/>
      <c r="CN14" s="361"/>
      <c r="CO14" s="361"/>
      <c r="CP14" s="362"/>
      <c r="CQ14" s="362"/>
      <c r="CR14" s="362"/>
      <c r="CS14" s="362"/>
      <c r="CT14" s="362"/>
      <c r="CU14" s="655"/>
      <c r="CV14" s="655"/>
      <c r="CW14" s="655"/>
      <c r="CX14" s="655"/>
      <c r="CY14" s="655"/>
      <c r="CZ14" s="654"/>
      <c r="DA14" s="654"/>
      <c r="DB14" s="654"/>
      <c r="DC14" s="654"/>
      <c r="DD14" s="654"/>
      <c r="DE14" s="62"/>
      <c r="DF14" t="s">
        <v>191</v>
      </c>
      <c r="DG14" t="s">
        <v>192</v>
      </c>
      <c r="DH14" t="s">
        <v>193</v>
      </c>
    </row>
    <row r="15" spans="1:116">
      <c r="A15" s="135">
        <f>IF(ISNUMBER(A13),A13+1,1)</f>
        <v>1</v>
      </c>
      <c r="B15" s="72" t="str">
        <f t="shared" ref="B15:B45" si="0">CHOOSE(MOD(WEEKDAY(DATE(A$12,A$2,A15)),7)+1,"lø","sø","ma","ti","on","to","fr",)</f>
        <v>on</v>
      </c>
      <c r="C15" s="73" t="s">
        <v>217</v>
      </c>
      <c r="D15" s="74" t="str">
        <f t="shared" ref="D15:D45" si="1">IF(B15="ma",(DATE(A$12,A$2,A15)-DATE(A$12,1,1)+7)/7,"")</f>
        <v/>
      </c>
      <c r="E15" s="858"/>
      <c r="F15" s="859"/>
      <c r="G15" s="860"/>
      <c r="H15" s="175"/>
      <c r="I15" s="221"/>
      <c r="J15" s="221"/>
      <c r="K15" s="191">
        <f>BN15</f>
        <v>0</v>
      </c>
      <c r="L15" s="191">
        <f>DE15</f>
        <v>0</v>
      </c>
      <c r="M15" s="238"/>
      <c r="N15" s="357"/>
      <c r="O15" s="408"/>
      <c r="P15" s="195"/>
      <c r="Q15" s="196"/>
      <c r="R15" s="196"/>
      <c r="S15" s="192"/>
      <c r="T15" s="255"/>
      <c r="U15" s="193"/>
      <c r="V15">
        <f>IF($P$15="x",S15-K15,0)</f>
        <v>0</v>
      </c>
      <c r="W15">
        <f t="shared" ref="W15:W45" si="2">IF(Q15="x",T15-L15,0)</f>
        <v>0</v>
      </c>
      <c r="X15" s="358">
        <f>IF($C$15="Anderledes dag",$I$15,0)</f>
        <v>0</v>
      </c>
      <c r="Y15" s="358">
        <f>IF(C15="Ferieåbning",I15,0)</f>
        <v>0</v>
      </c>
      <c r="Z15" s="358">
        <f t="shared" ref="Z15:Z45" si="3">IF(C15="Pæd.dag",I15,0)</f>
        <v>0</v>
      </c>
      <c r="AA15" s="358">
        <f>IF($C$15="Ekskursion",$I$15,0)</f>
        <v>0</v>
      </c>
      <c r="AB15" s="358">
        <f>IF($C$15="Koloni",$I$15,0)</f>
        <v>0</v>
      </c>
      <c r="AC15" s="358">
        <f>IF(C15="Orlov",Stamoplysninger!$E$21*7.4,0)</f>
        <v>0</v>
      </c>
      <c r="AD15" s="358">
        <f>IF($C$15="Rul 1",Rul!$E$46,0)</f>
        <v>0</v>
      </c>
      <c r="AE15" s="358">
        <f>IF($C$15="Rul 2",Rul!$G$46,0)</f>
        <v>0</v>
      </c>
      <c r="AF15" s="358">
        <f>IF($C$15="Rul 3",Rul!$I$46,0)</f>
        <v>0</v>
      </c>
      <c r="AG15" s="358">
        <f>IF($C$15="Rul 4",Rul!$K$46,0)</f>
        <v>0</v>
      </c>
      <c r="AH15" s="358">
        <f>IF($C$15="Rul 5",Rul!$M$46,0)</f>
        <v>0</v>
      </c>
      <c r="AI15" s="358">
        <f>IF($C$15="Rul 6",Rul!$O$46,0)</f>
        <v>0</v>
      </c>
      <c r="AJ15" s="359">
        <f>IF(AND(C15="Normal uge 1",B15="ma"),'Normal uger'!$E$48,0)</f>
        <v>0</v>
      </c>
      <c r="AK15" s="359">
        <f>IF(AND(C15="Normal uge 1",B15="ti"),'Normal uger'!$G$48,0)</f>
        <v>0</v>
      </c>
      <c r="AL15" s="359">
        <f>IF(AND(C15="Normal uge 1",B15="on"),'Normal uger'!$I$48,0)</f>
        <v>0</v>
      </c>
      <c r="AM15" s="359">
        <f>IF(AND(C15="Normal uge 1",B15="to"),'Normal uger'!$K$48,0)</f>
        <v>0</v>
      </c>
      <c r="AN15" s="359">
        <f>IF(AND(C15="Normal uge 1",B15="fr"),'Normal uger'!$M$48,0)</f>
        <v>0</v>
      </c>
      <c r="AO15" s="360">
        <f>IF(AND(C15="Normal uge 2",B15="ma"),'Normal uger'!$S$48,0)</f>
        <v>0</v>
      </c>
      <c r="AP15" s="360">
        <f>IF(AND(C15="Normal uge 2",B15="ti"),'Normal uger'!$U$48,0)</f>
        <v>0</v>
      </c>
      <c r="AQ15" s="360">
        <f>IF(AND(C15="Normal uge 2",B15="on"),'Normal uger'!$W$48,0)</f>
        <v>0</v>
      </c>
      <c r="AR15" s="360">
        <f>IF(AND(C15="Normal uge 2",B15="to"),'Normal uger'!$Y$48,0)</f>
        <v>0</v>
      </c>
      <c r="AS15" s="360">
        <f>IF(AND(C15="Normal uge 2",B15="fr"),'Normal uger'!$AA$48,0)</f>
        <v>0</v>
      </c>
      <c r="AT15" s="361">
        <f>IF(AND(C15="Normal uge 3",B15="ma"),'Normal uger'!$AG$48,0)</f>
        <v>0</v>
      </c>
      <c r="AU15" s="361">
        <f>IF(AND(C15="Normal uge 3",B15="ti"),'Normal uger'!$AI$48,0)</f>
        <v>0</v>
      </c>
      <c r="AV15" s="361">
        <f>IF(AND(C15="Normal uge 3",B15="on"),'Normal uger'!$AK$48,0)</f>
        <v>0</v>
      </c>
      <c r="AW15" s="361">
        <f>IF(AND(C15="Normal uge 3",B15="to"),'Normal uger'!$AM$48,0)</f>
        <v>0</v>
      </c>
      <c r="AX15" s="361">
        <f>IF(AND(C15="Normal uge 3",B15="fr"),'Normal uger'!$AO$48,0)</f>
        <v>0</v>
      </c>
      <c r="AY15" s="362">
        <f>IF(AND(C15="Normal uge 4",B15="ma"),'Normal uger'!$AU$48,0)</f>
        <v>0</v>
      </c>
      <c r="AZ15" s="362">
        <f>IF(AND(C15="Normal uge 4",B15="ti"),'Normal uger'!$AW$48,0)</f>
        <v>0</v>
      </c>
      <c r="BA15" s="362">
        <f>IF(AND(C15="Normal uge 4",B15="on"),'Normal uger'!$AY$48,0)</f>
        <v>0</v>
      </c>
      <c r="BB15" s="362">
        <f>IF(AND(C15="Normal uge 4",B15="to"),'Normal uger'!$BA$48,0)</f>
        <v>0</v>
      </c>
      <c r="BC15" s="362">
        <f>IF(AND(C15="Normal uge 4",B15="fr"),'Normal uger'!$BC$48,0)</f>
        <v>0</v>
      </c>
      <c r="BD15" s="655">
        <f>IF(AND(C15="Normal uge 5",B15="ma"),'Normal uger'!$BI$48,0)</f>
        <v>0</v>
      </c>
      <c r="BE15" s="655">
        <f>IF(AND(C15="Normal uge 5",B15="ti"),'Normal uger'!$BK$48,0)</f>
        <v>0</v>
      </c>
      <c r="BF15" s="655">
        <f>IF(AND(C15="Normal uge 5",B15="on"),'Normal uger'!$BM$48,0)</f>
        <v>0</v>
      </c>
      <c r="BG15" s="655">
        <f>IF(AND(C15="Normal uge 5",B15="to"),'Normal uger'!$BO$48,0)</f>
        <v>0</v>
      </c>
      <c r="BH15" s="655">
        <f>IF(AND(C15="Normal uge 5",B15="fr"),'Normal uger'!$BQ$48,0)</f>
        <v>0</v>
      </c>
      <c r="BI15" s="654">
        <f>IF(AND(C15="Normal uge 6",B15="ma"),'Normal uger'!$BW$48,0)</f>
        <v>0</v>
      </c>
      <c r="BJ15" s="654">
        <f>IF(AND(C15="Normal uge 6",B15="ti"),'Normal uger'!$BY$48,0)</f>
        <v>0</v>
      </c>
      <c r="BK15" s="654">
        <f>IF(AND(C15="Normal uge 6",B15="on"),'Normal uger'!$CA$48,0)</f>
        <v>0</v>
      </c>
      <c r="BL15" s="654">
        <f>IF(AND(C15="Normal uge 6",B15="to"),'Normal uger'!$CC$48,0)</f>
        <v>0</v>
      </c>
      <c r="BM15" s="654">
        <f>IF(AND(C15="Normal uge 6",B15="fr"),'Normal uger'!$CE$48,0)</f>
        <v>0</v>
      </c>
      <c r="BN15" s="1">
        <f>SUM(X15:BM15)</f>
        <v>0</v>
      </c>
      <c r="BO15" s="125">
        <f t="shared" ref="BO15:BO45" si="4">SUM(AJ15:AN15)*24</f>
        <v>0</v>
      </c>
      <c r="BP15" s="358">
        <f t="shared" ref="BP15:BP45" si="5">IF(C15="Anderledes dag",J15,0)</f>
        <v>0</v>
      </c>
      <c r="BQ15" s="358">
        <f>IF(C15="Ferieåbning",J15,0)</f>
        <v>0</v>
      </c>
      <c r="BR15" s="358">
        <f t="shared" ref="BR15:BR45" si="6">IF(C15="Pæd.dag",J15,0)</f>
        <v>0</v>
      </c>
      <c r="BS15" s="358">
        <f t="shared" ref="BS15:BS45" si="7">IF(C15="Ekskursion",J15,0)</f>
        <v>0</v>
      </c>
      <c r="BT15" s="358">
        <f t="shared" ref="BT15:BT45" si="8">IF(C15="Koloni",J15,0)</f>
        <v>0</v>
      </c>
      <c r="BU15" s="358">
        <f>IF(C15="Rul 1",Rul!$E$49,0)</f>
        <v>0</v>
      </c>
      <c r="BV15" s="358">
        <f>IF(C15="Rul 2",Rul!$G$49,0)</f>
        <v>0</v>
      </c>
      <c r="BW15" s="358">
        <f>IF(C15="Rul 3",Rul!$I$49,0)</f>
        <v>0</v>
      </c>
      <c r="BX15" s="358">
        <f>IF(C15="Rul 4",Rul!$K$49,0)</f>
        <v>0</v>
      </c>
      <c r="BY15" s="358">
        <f>IF(C15="Rul 5",Rul!$M$49,0)</f>
        <v>0</v>
      </c>
      <c r="BZ15" s="358">
        <f>IF(C15="Rul 6",Rul!$O$49,0)</f>
        <v>0</v>
      </c>
      <c r="CA15" s="359">
        <f>IF(AND(C15="Normal uge 1",B15="ma"),'Normal uger'!$E$51,0)</f>
        <v>0</v>
      </c>
      <c r="CB15" s="359">
        <f>IF(AND(C15="Normal uge 1",B15="ti"),'Normal uger'!$G$51,0)</f>
        <v>0</v>
      </c>
      <c r="CC15" s="359">
        <f>IF(AND(C15="Normal uge 1",B15="on"),'Normal uger'!$I$51,0)</f>
        <v>0</v>
      </c>
      <c r="CD15" s="359">
        <f>IF(AND(C15="Normal uge 1",B15="to"),'Normal uger'!$K$51,0)</f>
        <v>0</v>
      </c>
      <c r="CE15" s="359">
        <f>IF(AND(C15="Normal uge 1",B15="fr"),'Normal uger'!$M$51,0)</f>
        <v>0</v>
      </c>
      <c r="CF15" s="360">
        <f>IF(AND(C15="Normal uge 2",B15="ma"),'Normal uger'!$S$51,0)</f>
        <v>0</v>
      </c>
      <c r="CG15" s="360">
        <f>IF(AND(C15="Normal uge 2",B15="ti"),'Normal uger'!$U$51,0)</f>
        <v>0</v>
      </c>
      <c r="CH15" s="360">
        <f>IF(AND(C15="Normal uge 2",B15="on"),'Normal uger'!$W$51,0)</f>
        <v>0</v>
      </c>
      <c r="CI15" s="360">
        <f>IF(AND(C15="Normal uge 2",B15="to"),'Normal uger'!$Y$51,0)</f>
        <v>0</v>
      </c>
      <c r="CJ15" s="360">
        <f>IF(AND(C15="Normal uge 2",B15="fr"),'Normal uger'!$AA$51,0)</f>
        <v>0</v>
      </c>
      <c r="CK15" s="361">
        <f>IF(AND(C15="Normal uge 3",B15="ma"),'Normal uger'!$AG$51,0)</f>
        <v>0</v>
      </c>
      <c r="CL15" s="361">
        <f>IF(AND(C15="Normal uge 3",B15="ti"),'Normal uger'!$AI$51,0)</f>
        <v>0</v>
      </c>
      <c r="CM15" s="361">
        <f>IF(AND(C15="Normal uge 3",B15="on"),'Normal uger'!$AK$51,0)</f>
        <v>0</v>
      </c>
      <c r="CN15" s="361">
        <f>IF(AND(C15="Normal uge 3",B15="to"),'Normal uger'!$AM$51,0)</f>
        <v>0</v>
      </c>
      <c r="CO15" s="361">
        <f>IF(AND(C15="Normal uge 3",B15="fr"),'Normal uger'!$AO$51,0)</f>
        <v>0</v>
      </c>
      <c r="CP15" s="362">
        <f>IF(AND(C15="Normal uge 4",B15="ma"),'Normal uger'!$AU$51,0)</f>
        <v>0</v>
      </c>
      <c r="CQ15" s="362">
        <f>IF(AND(C15="Normal uge 4",B15="ti"),'Normal uger'!$AW$51,0)</f>
        <v>0</v>
      </c>
      <c r="CR15" s="362">
        <f>IF(AND(C15="Normal uge 4",B15="on"),'Normal uger'!$AY$51,0)</f>
        <v>0</v>
      </c>
      <c r="CS15" s="362">
        <f>IF(AND(C15="Normal uge 4",B15="to"),'Normal uger'!$BA$51,0)</f>
        <v>0</v>
      </c>
      <c r="CT15" s="362">
        <f>IF(AND(C15="Normal uge 4",B15="fr"),'Normal uger'!$BC$51,0)</f>
        <v>0</v>
      </c>
      <c r="CU15" s="655">
        <f>IF(AND(C15="Normal uge 5",B15="ma"),'Normal uger'!$BI$51,0)</f>
        <v>0</v>
      </c>
      <c r="CV15" s="655">
        <f>IF(AND(C15="Normal uge 5",B15="ti"),'Normal uger'!$BK$51,0)</f>
        <v>0</v>
      </c>
      <c r="CW15" s="655">
        <f>IF(AND(C15="Normal uge 5",B15="on"),'Normal uger'!$BM$51,0)</f>
        <v>0</v>
      </c>
      <c r="CX15" s="655">
        <f>IF(AND(C15="Normal uge 5",B15="to"),'Normal uger'!$BO$51,0)</f>
        <v>0</v>
      </c>
      <c r="CY15" s="655">
        <f>IF(AND(C15="Normal uge 5",B15="fr"),'Normal uger'!$BQ$51,0)</f>
        <v>0</v>
      </c>
      <c r="CZ15" s="654">
        <f>IF(AND(C15="Normal uge 6",B15="ma"),'Normal uger'!$BW$51,0)</f>
        <v>0</v>
      </c>
      <c r="DA15" s="654">
        <f>IF(AND(C15="Normal uge 6",B15="ti"),'Normal uger'!$BY$51,0)</f>
        <v>0</v>
      </c>
      <c r="DB15" s="654">
        <f>IF(AND(C15="Normal uge 6",B15="on"),'Normal uger'!$CA$51,0)</f>
        <v>0</v>
      </c>
      <c r="DC15" s="654">
        <f>IF(AND(C15="Normal uge 6",B15="to"),'Normal uger'!$CC$51,0)</f>
        <v>0</v>
      </c>
      <c r="DD15" s="654">
        <f>IF(AND(C15="Normal uge 6",B15="fr"),'Normal uger'!$CE$51,0)</f>
        <v>0</v>
      </c>
      <c r="DE15" s="1">
        <f>SUM(BP15:DD15)</f>
        <v>0</v>
      </c>
      <c r="DF15" t="str">
        <f t="shared" ref="DF15:DF45" si="9">IF(AND(E15&gt;0,H15&gt;0),""&amp;E15&amp;" og "&amp;H15&amp;"","")</f>
        <v/>
      </c>
      <c r="DG15">
        <f t="shared" ref="DG15:DG45" si="10">IF(H15="",E15,"")</f>
        <v>0</v>
      </c>
      <c r="DH15">
        <f t="shared" ref="DH15:DH45" si="11">IF(E15="",H15,"")</f>
        <v>0</v>
      </c>
      <c r="DI15" t="str">
        <f t="shared" ref="DI15:DK46" si="12">IF(DF15=0,"",DF15)</f>
        <v/>
      </c>
      <c r="DJ15" t="str">
        <f>IF(DG15=0,"",DG15)</f>
        <v/>
      </c>
      <c r="DK15" t="str">
        <f>IF(DH15=0,"",DH15)</f>
        <v/>
      </c>
      <c r="DL15" t="str">
        <f>DI15&amp;""&amp;DJ15&amp;""&amp;DK15</f>
        <v/>
      </c>
    </row>
    <row r="16" spans="1:116">
      <c r="A16" s="135">
        <f t="shared" ref="A16:A44" si="13">IF(ISNUMBER(A15),A15+1,1)</f>
        <v>2</v>
      </c>
      <c r="B16" s="72" t="str">
        <f t="shared" si="0"/>
        <v>to</v>
      </c>
      <c r="C16" s="73" t="s">
        <v>217</v>
      </c>
      <c r="D16" s="74" t="str">
        <f t="shared" si="1"/>
        <v/>
      </c>
      <c r="E16" s="858"/>
      <c r="F16" s="859"/>
      <c r="G16" s="860"/>
      <c r="H16" s="175"/>
      <c r="I16" s="221"/>
      <c r="J16" s="221"/>
      <c r="K16" s="191">
        <f t="shared" ref="K16:K45" si="14">BN16</f>
        <v>0</v>
      </c>
      <c r="L16" s="191">
        <f t="shared" ref="L16:L45" si="15">DE16</f>
        <v>0</v>
      </c>
      <c r="M16" s="238"/>
      <c r="N16" s="357"/>
      <c r="O16" s="408"/>
      <c r="P16" s="195"/>
      <c r="Q16" s="196"/>
      <c r="R16" s="196"/>
      <c r="S16" s="192"/>
      <c r="T16" s="255"/>
      <c r="U16" s="193"/>
      <c r="V16">
        <f t="shared" ref="V16:V45" si="16">IF(P16="x",S16-K16,0)</f>
        <v>0</v>
      </c>
      <c r="W16">
        <f t="shared" si="2"/>
        <v>0</v>
      </c>
      <c r="X16" s="358">
        <f t="shared" ref="X16:X45" si="17">IF(C16="Anderledes dag",I16,0)</f>
        <v>0</v>
      </c>
      <c r="Y16" s="358">
        <f t="shared" ref="Y16:Y45" si="18">IF(C16="Ferieåbning",I16,0)</f>
        <v>0</v>
      </c>
      <c r="Z16" s="358">
        <f t="shared" si="3"/>
        <v>0</v>
      </c>
      <c r="AA16" s="358">
        <f t="shared" ref="AA16:AA45" si="19">IF(C16="Ekskursion",I16,0)</f>
        <v>0</v>
      </c>
      <c r="AB16" s="358">
        <f t="shared" ref="AB16:AB45" si="20">IF(C16="Koloni",I16,0)</f>
        <v>0</v>
      </c>
      <c r="AC16" s="358">
        <f>IF(C16="Orlov",Stamoplysninger!$E$21*7.4,0)</f>
        <v>0</v>
      </c>
      <c r="AD16" s="358">
        <f>IF(C16="Rul 1",Rul!$E$46,0)</f>
        <v>0</v>
      </c>
      <c r="AE16" s="358">
        <f>IF(C16="Rul 2",Rul!$G$46,0)</f>
        <v>0</v>
      </c>
      <c r="AF16" s="358">
        <f>IF(C16="Rul 3",Rul!$I$46,0)</f>
        <v>0</v>
      </c>
      <c r="AG16" s="358">
        <f>IF(C16="Rul 4",Rul!$K$46,0)</f>
        <v>0</v>
      </c>
      <c r="AH16" s="358">
        <f>IF(C16="Rul 5",Rul!$M$46,0)</f>
        <v>0</v>
      </c>
      <c r="AI16" s="358">
        <f>IF(C16="Rul 6",Rul!$O$46,0)</f>
        <v>0</v>
      </c>
      <c r="AJ16" s="359">
        <f>IF(AND(C16="Normal uge 1",B16="ma"),'Normal uger'!$E$48,0)</f>
        <v>0</v>
      </c>
      <c r="AK16" s="359">
        <f>IF(AND(C16="Normal uge 1",B16="ti"),'Normal uger'!$G$48,0)</f>
        <v>0</v>
      </c>
      <c r="AL16" s="359">
        <f>IF(AND(C16="Normal uge 1",B16="on"),'Normal uger'!$I$48,0)</f>
        <v>0</v>
      </c>
      <c r="AM16" s="359">
        <f>IF(AND(C16="Normal uge 1",B16="to"),'Normal uger'!$K$48,0)</f>
        <v>0</v>
      </c>
      <c r="AN16" s="359">
        <f>IF(AND(C16="Normal uge 1",B16="fr"),'Normal uger'!$M$48,0)</f>
        <v>0</v>
      </c>
      <c r="AO16" s="360">
        <f>IF(AND(C16="Normal uge 2",B16="ma"),'Normal uger'!$S$48,0)</f>
        <v>0</v>
      </c>
      <c r="AP16" s="360">
        <f>IF(AND(C16="Normal uge 2",B16="ti"),'Normal uger'!$U$48,0)</f>
        <v>0</v>
      </c>
      <c r="AQ16" s="360">
        <f>IF(AND(C16="Normal uge 2",B16="on"),'Normal uger'!$W$48,0)</f>
        <v>0</v>
      </c>
      <c r="AR16" s="360">
        <f>IF(AND(C16="Normal uge 2",B16="to"),'Normal uger'!$Y$48,0)</f>
        <v>0</v>
      </c>
      <c r="AS16" s="360">
        <f>IF(AND(C16="Normal uge 2",B16="fr"),'Normal uger'!$AA$48,0)</f>
        <v>0</v>
      </c>
      <c r="AT16" s="361">
        <f>IF(AND(C16="Normal uge 3",B16="ma"),'Normal uger'!$AG$48,0)</f>
        <v>0</v>
      </c>
      <c r="AU16" s="361">
        <f>IF(AND(C16="Normal uge 3",B16="ti"),'Normal uger'!$AI$48,0)</f>
        <v>0</v>
      </c>
      <c r="AV16" s="361">
        <f>IF(AND(C16="Normal uge 3",B16="on"),'Normal uger'!$AK$48,0)</f>
        <v>0</v>
      </c>
      <c r="AW16" s="361">
        <f>IF(AND(C16="Normal uge 3",B16="to"),'Normal uger'!$AM$48,0)</f>
        <v>0</v>
      </c>
      <c r="AX16" s="361">
        <f>IF(AND(C16="Normal uge 3",B16="fr"),'Normal uger'!$AO$48,0)</f>
        <v>0</v>
      </c>
      <c r="AY16" s="362">
        <f>IF(AND(C16="Normal uge 4",B16="ma"),'Normal uger'!$AU$48,0)</f>
        <v>0</v>
      </c>
      <c r="AZ16" s="362">
        <f>IF(AND(C16="Normal uge 4",B16="ti"),'Normal uger'!$AW$48,0)</f>
        <v>0</v>
      </c>
      <c r="BA16" s="362">
        <f>IF(AND(C16="Normal uge 4",B16="on"),'Normal uger'!$AY$48,0)</f>
        <v>0</v>
      </c>
      <c r="BB16" s="362">
        <f>IF(AND(C16="Normal uge 4",B16="to"),'Normal uger'!$BA$48,0)</f>
        <v>0</v>
      </c>
      <c r="BC16" s="362">
        <f>IF(AND(C16="Normal uge 4",B16="fr"),'Normal uger'!$BC$48,0)</f>
        <v>0</v>
      </c>
      <c r="BD16" s="655">
        <f>IF(AND(C16="Normal uge 5",B16="ma"),'Normal uger'!$BI$48,0)</f>
        <v>0</v>
      </c>
      <c r="BE16" s="655">
        <f>IF(AND(C16="Normal uge 5",B16="ti"),'Normal uger'!$BK$48,0)</f>
        <v>0</v>
      </c>
      <c r="BF16" s="655">
        <f>IF(AND(C16="Normal uge 5",B16="on"),'Normal uger'!$BM$48,0)</f>
        <v>0</v>
      </c>
      <c r="BG16" s="655">
        <f>IF(AND(C16="Normal uge 5",B16="to"),'Normal uger'!$BO$48,0)</f>
        <v>0</v>
      </c>
      <c r="BH16" s="655">
        <f>IF(AND(C16="Normal uge 5",B16="fr"),'Normal uger'!$BQ$48,0)</f>
        <v>0</v>
      </c>
      <c r="BI16" s="654">
        <f>IF(AND(C16="Normal uge 6",B16="ma"),'Normal uger'!$BW$48,0)</f>
        <v>0</v>
      </c>
      <c r="BJ16" s="654">
        <f>IF(AND(C16="Normal uge 6",B16="ti"),'Normal uger'!$BY$48,0)</f>
        <v>0</v>
      </c>
      <c r="BK16" s="654">
        <f>IF(AND(C16="Normal uge 6",B16="on"),'Normal uger'!$CA$48,0)</f>
        <v>0</v>
      </c>
      <c r="BL16" s="654">
        <f>IF(AND(C16="Normal uge 6",B16="to"),'Normal uger'!$CC$48,0)</f>
        <v>0</v>
      </c>
      <c r="BM16" s="654">
        <f>IF(AND(C16="Normal uge 6",B16="fr"),'Normal uger'!$CE$48,0)</f>
        <v>0</v>
      </c>
      <c r="BN16" s="1">
        <f t="shared" ref="BN16:BN44" si="21">SUM(X16:BM16)</f>
        <v>0</v>
      </c>
      <c r="BO16" s="125">
        <f t="shared" si="4"/>
        <v>0</v>
      </c>
      <c r="BP16" s="358">
        <f t="shared" si="5"/>
        <v>0</v>
      </c>
      <c r="BQ16" s="358">
        <f t="shared" ref="BQ16:BQ45" si="22">IF(C16="Ferieåbning",J16,0)</f>
        <v>0</v>
      </c>
      <c r="BR16" s="358">
        <f t="shared" si="6"/>
        <v>0</v>
      </c>
      <c r="BS16" s="358">
        <f t="shared" si="7"/>
        <v>0</v>
      </c>
      <c r="BT16" s="358">
        <f t="shared" si="8"/>
        <v>0</v>
      </c>
      <c r="BU16" s="358">
        <f>IF(C16="Rul 1",Rul!$E$49,0)</f>
        <v>0</v>
      </c>
      <c r="BV16" s="358">
        <f>IF(C16="Rul 2",Rul!$G$49,0)</f>
        <v>0</v>
      </c>
      <c r="BW16" s="358">
        <f>IF(C16="Rul 3",Rul!$I$49,0)</f>
        <v>0</v>
      </c>
      <c r="BX16" s="358">
        <f>IF(C16="Rul 4",Rul!$K$49,0)</f>
        <v>0</v>
      </c>
      <c r="BY16" s="358">
        <f>IF(C16="Rul 5",Rul!$M$49,0)</f>
        <v>0</v>
      </c>
      <c r="BZ16" s="358">
        <f>IF(C16="Rul 6",Rul!$O$49,0)</f>
        <v>0</v>
      </c>
      <c r="CA16" s="359">
        <f>IF(AND(C16="Normal uge 1",B16="ma"),'Normal uger'!$E$51,0)</f>
        <v>0</v>
      </c>
      <c r="CB16" s="359">
        <f>IF(AND(C16="Normal uge 1",B16="ti"),'Normal uger'!$G$51,0)</f>
        <v>0</v>
      </c>
      <c r="CC16" s="359">
        <f>IF(AND(C16="Normal uge 1",B16="on"),'Normal uger'!$I$51,0)</f>
        <v>0</v>
      </c>
      <c r="CD16" s="359">
        <f>IF(AND(C16="Normal uge 1",B16="to"),'Normal uger'!$K$51,0)</f>
        <v>0</v>
      </c>
      <c r="CE16" s="359">
        <f>IF(AND(C16="Normal uge 1",B16="fr"),'Normal uger'!$M$51,0)</f>
        <v>0</v>
      </c>
      <c r="CF16" s="360">
        <f>IF(AND(C16="Normal uge 2",B16="ma"),'Normal uger'!$S$51,0)</f>
        <v>0</v>
      </c>
      <c r="CG16" s="360">
        <f>IF(AND(C16="Normal uge 2",B16="ti"),'Normal uger'!$U$51,0)</f>
        <v>0</v>
      </c>
      <c r="CH16" s="360">
        <f>IF(AND(C16="Normal uge 2",B16="on"),'Normal uger'!$W$51,0)</f>
        <v>0</v>
      </c>
      <c r="CI16" s="360">
        <f>IF(AND(C16="Normal uge 2",B16="to"),'Normal uger'!$Y$51,0)</f>
        <v>0</v>
      </c>
      <c r="CJ16" s="360">
        <f>IF(AND(C16="Normal uge 2",B16="fr"),'Normal uger'!$AA$51,0)</f>
        <v>0</v>
      </c>
      <c r="CK16" s="361">
        <f>IF(AND(C16="Normal uge 3",B16="ma"),'Normal uger'!$AG$51,0)</f>
        <v>0</v>
      </c>
      <c r="CL16" s="361">
        <f>IF(AND(C16="Normal uge 3",B16="ti"),'Normal uger'!$AI$51,0)</f>
        <v>0</v>
      </c>
      <c r="CM16" s="361">
        <f>IF(AND(C16="Normal uge 3",B16="on"),'Normal uger'!$AK$51,0)</f>
        <v>0</v>
      </c>
      <c r="CN16" s="361">
        <f>IF(AND(C16="Normal uge 3",B16="to"),'Normal uger'!$AM$51,0)</f>
        <v>0</v>
      </c>
      <c r="CO16" s="361">
        <f>IF(AND(C16="Normal uge 3",B16="fr"),'Normal uger'!$AO$51,0)</f>
        <v>0</v>
      </c>
      <c r="CP16" s="362">
        <f>IF(AND(C16="Normal uge 4",B16="ma"),'Normal uger'!$AU$51,0)</f>
        <v>0</v>
      </c>
      <c r="CQ16" s="362">
        <f>IF(AND(C16="Normal uge 4",B16="ti"),'Normal uger'!$AW$51,0)</f>
        <v>0</v>
      </c>
      <c r="CR16" s="362">
        <f>IF(AND(C16="Normal uge 4",B16="on"),'Normal uger'!$AY$51,0)</f>
        <v>0</v>
      </c>
      <c r="CS16" s="362">
        <f>IF(AND(C16="Normal uge 4",B16="to"),'Normal uger'!$BA$51,0)</f>
        <v>0</v>
      </c>
      <c r="CT16" s="362">
        <f>IF(AND(C16="Normal uge 4",B16="fr"),'Normal uger'!$BC$51,0)</f>
        <v>0</v>
      </c>
      <c r="CU16" s="655">
        <f>IF(AND(C16="Normal uge 5",B16="ma"),'Normal uger'!$BI$51,0)</f>
        <v>0</v>
      </c>
      <c r="CV16" s="655">
        <f>IF(AND(C16="Normal uge 5",B16="ti"),'Normal uger'!$BK$51,0)</f>
        <v>0</v>
      </c>
      <c r="CW16" s="655">
        <f>IF(AND(C16="Normal uge 5",B16="on"),'Normal uger'!$BM$51,0)</f>
        <v>0</v>
      </c>
      <c r="CX16" s="655">
        <f>IF(AND(C16="Normal uge 5",B16="to"),'Normal uger'!$BO$51,0)</f>
        <v>0</v>
      </c>
      <c r="CY16" s="655">
        <f>IF(AND(C16="Normal uge 5",B16="fr"),'Normal uger'!$BQ$51,0)</f>
        <v>0</v>
      </c>
      <c r="CZ16" s="654">
        <f>IF(AND(C16="Normal uge 6",B16="ma"),'Normal uger'!$BW$51,0)</f>
        <v>0</v>
      </c>
      <c r="DA16" s="654">
        <f>IF(AND(C16="Normal uge 6",B16="ti"),'Normal uger'!$BY$51,0)</f>
        <v>0</v>
      </c>
      <c r="DB16" s="654">
        <f>IF(AND(C16="Normal uge 6",B16="on"),'Normal uger'!$CA$51,0)</f>
        <v>0</v>
      </c>
      <c r="DC16" s="654">
        <f>IF(AND(C16="Normal uge 6",B16="to"),'Normal uger'!$CC$51,0)</f>
        <v>0</v>
      </c>
      <c r="DD16" s="654">
        <f>IF(AND(C16="Normal uge 6",B16="fr"),'Normal uger'!$CE$51,0)</f>
        <v>0</v>
      </c>
      <c r="DE16" s="1">
        <f t="shared" ref="DE16:DE45" si="23">SUM(BP16:DD16)</f>
        <v>0</v>
      </c>
      <c r="DF16" t="str">
        <f t="shared" si="9"/>
        <v/>
      </c>
      <c r="DG16">
        <f t="shared" si="10"/>
        <v>0</v>
      </c>
      <c r="DH16">
        <f t="shared" si="11"/>
        <v>0</v>
      </c>
      <c r="DI16" t="str">
        <f t="shared" si="12"/>
        <v/>
      </c>
      <c r="DJ16" t="str">
        <f t="shared" si="12"/>
        <v/>
      </c>
      <c r="DK16" t="str">
        <f t="shared" si="12"/>
        <v/>
      </c>
      <c r="DL16" t="str">
        <f t="shared" ref="DL16:DL45" si="24">DI16&amp;""&amp;DJ16&amp;""&amp;DK16</f>
        <v/>
      </c>
    </row>
    <row r="17" spans="1:116">
      <c r="A17" s="135">
        <f t="shared" si="13"/>
        <v>3</v>
      </c>
      <c r="B17" s="72" t="str">
        <f t="shared" si="0"/>
        <v>fr</v>
      </c>
      <c r="C17" s="73" t="s">
        <v>217</v>
      </c>
      <c r="D17" s="74" t="str">
        <f t="shared" si="1"/>
        <v/>
      </c>
      <c r="E17" s="858"/>
      <c r="F17" s="859"/>
      <c r="G17" s="860"/>
      <c r="H17" s="175"/>
      <c r="I17" s="221"/>
      <c r="J17" s="221"/>
      <c r="K17" s="191">
        <f t="shared" si="14"/>
        <v>0</v>
      </c>
      <c r="L17" s="191">
        <f t="shared" si="15"/>
        <v>0</v>
      </c>
      <c r="M17" s="238"/>
      <c r="N17" s="357"/>
      <c r="O17" s="408"/>
      <c r="P17" s="195"/>
      <c r="Q17" s="196"/>
      <c r="R17" s="196"/>
      <c r="S17" s="192"/>
      <c r="T17" s="255"/>
      <c r="U17" s="193"/>
      <c r="V17">
        <f t="shared" si="16"/>
        <v>0</v>
      </c>
      <c r="W17">
        <f t="shared" si="2"/>
        <v>0</v>
      </c>
      <c r="X17" s="358">
        <f t="shared" si="17"/>
        <v>0</v>
      </c>
      <c r="Y17" s="358">
        <f t="shared" si="18"/>
        <v>0</v>
      </c>
      <c r="Z17" s="358">
        <f t="shared" si="3"/>
        <v>0</v>
      </c>
      <c r="AA17" s="358">
        <f t="shared" si="19"/>
        <v>0</v>
      </c>
      <c r="AB17" s="358">
        <f t="shared" si="20"/>
        <v>0</v>
      </c>
      <c r="AC17" s="358">
        <f>IF(C17="Orlov",Stamoplysninger!$E$21*7.4,0)</f>
        <v>0</v>
      </c>
      <c r="AD17" s="358">
        <f>IF(C17="Rul 1",Rul!$E$46,0)</f>
        <v>0</v>
      </c>
      <c r="AE17" s="358">
        <f>IF(C17="Rul 2",Rul!$G$46,0)</f>
        <v>0</v>
      </c>
      <c r="AF17" s="358">
        <f>IF(C17="Rul 3",Rul!$I$46,0)</f>
        <v>0</v>
      </c>
      <c r="AG17" s="358">
        <f>IF(C17="Rul 4",Rul!$K$46,0)</f>
        <v>0</v>
      </c>
      <c r="AH17" s="358">
        <f>IF(C17="Rul 5",Rul!$M$46,0)</f>
        <v>0</v>
      </c>
      <c r="AI17" s="358">
        <f>IF(C17="Rul 6",Rul!$O$46,0)</f>
        <v>0</v>
      </c>
      <c r="AJ17" s="359">
        <f>IF(AND(C17="Normal uge 1",B17="ma"),'Normal uger'!$E$48,0)</f>
        <v>0</v>
      </c>
      <c r="AK17" s="359">
        <f>IF(AND(C17="Normal uge 1",B17="ti"),'Normal uger'!$G$48,0)</f>
        <v>0</v>
      </c>
      <c r="AL17" s="359">
        <f>IF(AND(C17="Normal uge 1",B17="on"),'Normal uger'!$I$48,0)</f>
        <v>0</v>
      </c>
      <c r="AM17" s="359">
        <f>IF(AND(C17="Normal uge 1",B17="to"),'Normal uger'!$K$48,0)</f>
        <v>0</v>
      </c>
      <c r="AN17" s="359">
        <f>IF(AND(C17="Normal uge 1",B17="fr"),'Normal uger'!$M$48,0)</f>
        <v>0</v>
      </c>
      <c r="AO17" s="360">
        <f>IF(AND(C17="Normal uge 2",B17="ma"),'Normal uger'!$S$48,0)</f>
        <v>0</v>
      </c>
      <c r="AP17" s="360">
        <f>IF(AND(C17="Normal uge 2",B17="ti"),'Normal uger'!$U$48,0)</f>
        <v>0</v>
      </c>
      <c r="AQ17" s="360">
        <f>IF(AND(C17="Normal uge 2",B17="on"),'Normal uger'!$W$48,0)</f>
        <v>0</v>
      </c>
      <c r="AR17" s="360">
        <f>IF(AND(C17="Normal uge 2",B17="to"),'Normal uger'!$Y$48,0)</f>
        <v>0</v>
      </c>
      <c r="AS17" s="360">
        <f>IF(AND(C17="Normal uge 2",B17="fr"),'Normal uger'!$AA$48,0)</f>
        <v>0</v>
      </c>
      <c r="AT17" s="361">
        <f>IF(AND(C17="Normal uge 3",B17="ma"),'Normal uger'!$AG$48,0)</f>
        <v>0</v>
      </c>
      <c r="AU17" s="361">
        <f>IF(AND(C17="Normal uge 3",B17="ti"),'Normal uger'!$AI$48,0)</f>
        <v>0</v>
      </c>
      <c r="AV17" s="361">
        <f>IF(AND(C17="Normal uge 3",B17="on"),'Normal uger'!$AK$48,0)</f>
        <v>0</v>
      </c>
      <c r="AW17" s="361">
        <f>IF(AND(C17="Normal uge 3",B17="to"),'Normal uger'!$AM$48,0)</f>
        <v>0</v>
      </c>
      <c r="AX17" s="361">
        <f>IF(AND(C17="Normal uge 3",B17="fr"),'Normal uger'!$AO$48,0)</f>
        <v>0</v>
      </c>
      <c r="AY17" s="362">
        <f>IF(AND(C17="Normal uge 4",B17="ma"),'Normal uger'!$AU$48,0)</f>
        <v>0</v>
      </c>
      <c r="AZ17" s="362">
        <f>IF(AND(C17="Normal uge 4",B17="ti"),'Normal uger'!$AW$48,0)</f>
        <v>0</v>
      </c>
      <c r="BA17" s="362">
        <f>IF(AND(C17="Normal uge 4",B17="on"),'Normal uger'!$AY$48,0)</f>
        <v>0</v>
      </c>
      <c r="BB17" s="362">
        <f>IF(AND(C17="Normal uge 4",B17="to"),'Normal uger'!$BA$48,0)</f>
        <v>0</v>
      </c>
      <c r="BC17" s="362">
        <f>IF(AND(C17="Normal uge 4",B17="fr"),'Normal uger'!$BC$48,0)</f>
        <v>0</v>
      </c>
      <c r="BD17" s="655">
        <f>IF(AND(C17="Normal uge 5",B17="ma"),'Normal uger'!$BI$48,0)</f>
        <v>0</v>
      </c>
      <c r="BE17" s="655">
        <f>IF(AND(C17="Normal uge 5",B17="ti"),'Normal uger'!$BK$48,0)</f>
        <v>0</v>
      </c>
      <c r="BF17" s="655">
        <f>IF(AND(C17="Normal uge 5",B17="on"),'Normal uger'!$BM$48,0)</f>
        <v>0</v>
      </c>
      <c r="BG17" s="655">
        <f>IF(AND(C17="Normal uge 5",B17="to"),'Normal uger'!$BO$48,0)</f>
        <v>0</v>
      </c>
      <c r="BH17" s="655">
        <f>IF(AND(C17="Normal uge 5",B17="fr"),'Normal uger'!$BQ$48,0)</f>
        <v>0</v>
      </c>
      <c r="BI17" s="654">
        <f>IF(AND(C17="Normal uge 6",B17="ma"),'Normal uger'!$BW$48,0)</f>
        <v>0</v>
      </c>
      <c r="BJ17" s="654">
        <f>IF(AND(C17="Normal uge 6",B17="ti"),'Normal uger'!$BY$48,0)</f>
        <v>0</v>
      </c>
      <c r="BK17" s="654">
        <f>IF(AND(C17="Normal uge 6",B17="on"),'Normal uger'!$CA$48,0)</f>
        <v>0</v>
      </c>
      <c r="BL17" s="654">
        <f>IF(AND(C17="Normal uge 6",B17="to"),'Normal uger'!$CC$48,0)</f>
        <v>0</v>
      </c>
      <c r="BM17" s="654">
        <f>IF(AND(C17="Normal uge 6",B17="fr"),'Normal uger'!$CE$48,0)</f>
        <v>0</v>
      </c>
      <c r="BN17" s="1">
        <f t="shared" si="21"/>
        <v>0</v>
      </c>
      <c r="BO17" s="125">
        <f t="shared" si="4"/>
        <v>0</v>
      </c>
      <c r="BP17" s="358">
        <f t="shared" si="5"/>
        <v>0</v>
      </c>
      <c r="BQ17" s="358">
        <f t="shared" si="22"/>
        <v>0</v>
      </c>
      <c r="BR17" s="358">
        <f t="shared" si="6"/>
        <v>0</v>
      </c>
      <c r="BS17" s="358">
        <f t="shared" si="7"/>
        <v>0</v>
      </c>
      <c r="BT17" s="358">
        <f t="shared" si="8"/>
        <v>0</v>
      </c>
      <c r="BU17" s="358">
        <f>IF(C17="Rul 1",Rul!$E$49,0)</f>
        <v>0</v>
      </c>
      <c r="BV17" s="358">
        <f>IF(C17="Rul 2",Rul!$G$49,0)</f>
        <v>0</v>
      </c>
      <c r="BW17" s="358">
        <f>IF(C17="Rul 3",Rul!$I$49,0)</f>
        <v>0</v>
      </c>
      <c r="BX17" s="358">
        <f>IF(C17="Rul 4",Rul!$K$49,0)</f>
        <v>0</v>
      </c>
      <c r="BY17" s="358">
        <f>IF(C17="Rul 5",Rul!$M$49,0)</f>
        <v>0</v>
      </c>
      <c r="BZ17" s="358">
        <f>IF(C17="Rul 6",Rul!$O$49,0)</f>
        <v>0</v>
      </c>
      <c r="CA17" s="359">
        <f>IF(AND(C17="Normal uge 1",B17="ma"),'Normal uger'!$E$51,0)</f>
        <v>0</v>
      </c>
      <c r="CB17" s="359">
        <f>IF(AND(C17="Normal uge 1",B17="ti"),'Normal uger'!$G$51,0)</f>
        <v>0</v>
      </c>
      <c r="CC17" s="359">
        <f>IF(AND(C17="Normal uge 1",B17="on"),'Normal uger'!$I$51,0)</f>
        <v>0</v>
      </c>
      <c r="CD17" s="359">
        <f>IF(AND(C17="Normal uge 1",B17="to"),'Normal uger'!$K$51,0)</f>
        <v>0</v>
      </c>
      <c r="CE17" s="359">
        <f>IF(AND(C17="Normal uge 1",B17="fr"),'Normal uger'!$M$51,0)</f>
        <v>0</v>
      </c>
      <c r="CF17" s="360">
        <f>IF(AND(C17="Normal uge 2",B17="ma"),'Normal uger'!$S$51,0)</f>
        <v>0</v>
      </c>
      <c r="CG17" s="360">
        <f>IF(AND(C17="Normal uge 2",B17="ti"),'Normal uger'!$U$51,0)</f>
        <v>0</v>
      </c>
      <c r="CH17" s="360">
        <f>IF(AND(C17="Normal uge 2",B17="on"),'Normal uger'!$W$51,0)</f>
        <v>0</v>
      </c>
      <c r="CI17" s="360">
        <f>IF(AND(C17="Normal uge 2",B17="to"),'Normal uger'!$Y$51,0)</f>
        <v>0</v>
      </c>
      <c r="CJ17" s="360">
        <f>IF(AND(C17="Normal uge 2",B17="fr"),'Normal uger'!$AA$51,0)</f>
        <v>0</v>
      </c>
      <c r="CK17" s="361">
        <f>IF(AND(C17="Normal uge 3",B17="ma"),'Normal uger'!$AG$51,0)</f>
        <v>0</v>
      </c>
      <c r="CL17" s="361">
        <f>IF(AND(C17="Normal uge 3",B17="ti"),'Normal uger'!$AI$51,0)</f>
        <v>0</v>
      </c>
      <c r="CM17" s="361">
        <f>IF(AND(C17="Normal uge 3",B17="on"),'Normal uger'!$AK$51,0)</f>
        <v>0</v>
      </c>
      <c r="CN17" s="361">
        <f>IF(AND(C17="Normal uge 3",B17="to"),'Normal uger'!$AM$51,0)</f>
        <v>0</v>
      </c>
      <c r="CO17" s="361">
        <f>IF(AND(C17="Normal uge 3",B17="fr"),'Normal uger'!$AO$51,0)</f>
        <v>0</v>
      </c>
      <c r="CP17" s="362">
        <f>IF(AND(C17="Normal uge 4",B17="ma"),'Normal uger'!$AU$51,0)</f>
        <v>0</v>
      </c>
      <c r="CQ17" s="362">
        <f>IF(AND(C17="Normal uge 4",B17="ti"),'Normal uger'!$AW$51,0)</f>
        <v>0</v>
      </c>
      <c r="CR17" s="362">
        <f>IF(AND(C17="Normal uge 4",B17="on"),'Normal uger'!$AY$51,0)</f>
        <v>0</v>
      </c>
      <c r="CS17" s="362">
        <f>IF(AND(C17="Normal uge 4",B17="to"),'Normal uger'!$BA$51,0)</f>
        <v>0</v>
      </c>
      <c r="CT17" s="362">
        <f>IF(AND(C17="Normal uge 4",B17="fr"),'Normal uger'!$BC$51,0)</f>
        <v>0</v>
      </c>
      <c r="CU17" s="655">
        <f>IF(AND(C17="Normal uge 5",B17="ma"),'Normal uger'!$BI$51,0)</f>
        <v>0</v>
      </c>
      <c r="CV17" s="655">
        <f>IF(AND(C17="Normal uge 5",B17="ti"),'Normal uger'!$BK$51,0)</f>
        <v>0</v>
      </c>
      <c r="CW17" s="655">
        <f>IF(AND(C17="Normal uge 5",B17="on"),'Normal uger'!$BM$51,0)</f>
        <v>0</v>
      </c>
      <c r="CX17" s="655">
        <f>IF(AND(C17="Normal uge 5",B17="to"),'Normal uger'!$BO$51,0)</f>
        <v>0</v>
      </c>
      <c r="CY17" s="655">
        <f>IF(AND(C17="Normal uge 5",B17="fr"),'Normal uger'!$BQ$51,0)</f>
        <v>0</v>
      </c>
      <c r="CZ17" s="654">
        <f>IF(AND(C17="Normal uge 6",B17="ma"),'Normal uger'!$BW$51,0)</f>
        <v>0</v>
      </c>
      <c r="DA17" s="654">
        <f>IF(AND(C17="Normal uge 6",B17="ti"),'Normal uger'!$BY$51,0)</f>
        <v>0</v>
      </c>
      <c r="DB17" s="654">
        <f>IF(AND(C17="Normal uge 6",B17="on"),'Normal uger'!$CA$51,0)</f>
        <v>0</v>
      </c>
      <c r="DC17" s="654">
        <f>IF(AND(C17="Normal uge 6",B17="to"),'Normal uger'!$CC$51,0)</f>
        <v>0</v>
      </c>
      <c r="DD17" s="654">
        <f>IF(AND(C17="Normal uge 6",B17="fr"),'Normal uger'!$CE$51,0)</f>
        <v>0</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4</v>
      </c>
      <c r="B18" s="72" t="str">
        <f t="shared" si="0"/>
        <v>lø</v>
      </c>
      <c r="C18" s="73" t="s">
        <v>77</v>
      </c>
      <c r="D18" s="74" t="str">
        <f t="shared" si="1"/>
        <v/>
      </c>
      <c r="E18" s="858"/>
      <c r="F18" s="859"/>
      <c r="G18" s="860"/>
      <c r="H18" s="175"/>
      <c r="I18" s="221"/>
      <c r="J18" s="221"/>
      <c r="K18" s="191">
        <f t="shared" si="14"/>
        <v>0</v>
      </c>
      <c r="L18" s="191">
        <f t="shared" si="15"/>
        <v>0</v>
      </c>
      <c r="M18" s="238"/>
      <c r="N18" s="357"/>
      <c r="O18" s="408"/>
      <c r="P18" s="195"/>
      <c r="Q18" s="196"/>
      <c r="R18" s="196"/>
      <c r="S18" s="192"/>
      <c r="T18" s="255"/>
      <c r="U18" s="193"/>
      <c r="V18">
        <f t="shared" si="16"/>
        <v>0</v>
      </c>
      <c r="W18">
        <f t="shared" si="2"/>
        <v>0</v>
      </c>
      <c r="X18" s="358">
        <f t="shared" si="17"/>
        <v>0</v>
      </c>
      <c r="Y18" s="358">
        <f t="shared" si="18"/>
        <v>0</v>
      </c>
      <c r="Z18" s="358">
        <f t="shared" si="3"/>
        <v>0</v>
      </c>
      <c r="AA18" s="358">
        <f t="shared" si="19"/>
        <v>0</v>
      </c>
      <c r="AB18" s="358">
        <f t="shared" si="20"/>
        <v>0</v>
      </c>
      <c r="AC18" s="358">
        <f>IF(C18="Orlov",Stamoplysninger!$E$21*7.4,0)</f>
        <v>0</v>
      </c>
      <c r="AD18" s="358">
        <f>IF(C18="Rul 1",Rul!$E$46,0)</f>
        <v>0</v>
      </c>
      <c r="AE18" s="358">
        <f>IF(C18="Rul 2",Rul!$G$46,0)</f>
        <v>0</v>
      </c>
      <c r="AF18" s="358">
        <f>IF(C18="Rul 3",Rul!$I$46,0)</f>
        <v>0</v>
      </c>
      <c r="AG18" s="358">
        <f>IF(C18="Rul 4",Rul!$K$46,0)</f>
        <v>0</v>
      </c>
      <c r="AH18" s="358">
        <f>IF(C18="Rul 5",Rul!$M$46,0)</f>
        <v>0</v>
      </c>
      <c r="AI18" s="358">
        <f>IF(C18="Rul 6",Rul!$O$46,0)</f>
        <v>0</v>
      </c>
      <c r="AJ18" s="359">
        <f>IF(AND(C18="Normal uge 1",B18="ma"),'Normal uger'!$E$48,0)</f>
        <v>0</v>
      </c>
      <c r="AK18" s="359">
        <f>IF(AND(C18="Normal uge 1",B18="ti"),'Normal uger'!$G$48,0)</f>
        <v>0</v>
      </c>
      <c r="AL18" s="359">
        <f>IF(AND(C18="Normal uge 1",B18="on"),'Normal uger'!$I$48,0)</f>
        <v>0</v>
      </c>
      <c r="AM18" s="359">
        <f>IF(AND(C18="Normal uge 1",B18="to"),'Normal uger'!$K$48,0)</f>
        <v>0</v>
      </c>
      <c r="AN18" s="359">
        <f>IF(AND(C18="Normal uge 1",B18="fr"),'Normal uger'!$M$48,0)</f>
        <v>0</v>
      </c>
      <c r="AO18" s="360">
        <f>IF(AND(C18="Normal uge 2",B18="ma"),'Normal uger'!$S$48,0)</f>
        <v>0</v>
      </c>
      <c r="AP18" s="360">
        <f>IF(AND(C18="Normal uge 2",B18="ti"),'Normal uger'!$U$48,0)</f>
        <v>0</v>
      </c>
      <c r="AQ18" s="360">
        <f>IF(AND(C18="Normal uge 2",B18="on"),'Normal uger'!$W$48,0)</f>
        <v>0</v>
      </c>
      <c r="AR18" s="360">
        <f>IF(AND(C18="Normal uge 2",B18="to"),'Normal uger'!$Y$48,0)</f>
        <v>0</v>
      </c>
      <c r="AS18" s="360">
        <f>IF(AND(C18="Normal uge 2",B18="fr"),'Normal uger'!$AA$48,0)</f>
        <v>0</v>
      </c>
      <c r="AT18" s="361">
        <f>IF(AND(C18="Normal uge 3",B18="ma"),'Normal uger'!$AG$48,0)</f>
        <v>0</v>
      </c>
      <c r="AU18" s="361">
        <f>IF(AND(C18="Normal uge 3",B18="ti"),'Normal uger'!$AI$48,0)</f>
        <v>0</v>
      </c>
      <c r="AV18" s="361">
        <f>IF(AND(C18="Normal uge 3",B18="on"),'Normal uger'!$AK$48,0)</f>
        <v>0</v>
      </c>
      <c r="AW18" s="361">
        <f>IF(AND(C18="Normal uge 3",B18="to"),'Normal uger'!$AM$48,0)</f>
        <v>0</v>
      </c>
      <c r="AX18" s="361">
        <f>IF(AND(C18="Normal uge 3",B18="fr"),'Normal uger'!$AO$48,0)</f>
        <v>0</v>
      </c>
      <c r="AY18" s="362">
        <f>IF(AND(C18="Normal uge 4",B18="ma"),'Normal uger'!$AU$48,0)</f>
        <v>0</v>
      </c>
      <c r="AZ18" s="362">
        <f>IF(AND(C18="Normal uge 4",B18="ti"),'Normal uger'!$AW$48,0)</f>
        <v>0</v>
      </c>
      <c r="BA18" s="362">
        <f>IF(AND(C18="Normal uge 4",B18="on"),'Normal uger'!$AY$48,0)</f>
        <v>0</v>
      </c>
      <c r="BB18" s="362">
        <f>IF(AND(C18="Normal uge 4",B18="to"),'Normal uger'!$BA$48,0)</f>
        <v>0</v>
      </c>
      <c r="BC18" s="362">
        <f>IF(AND(C18="Normal uge 4",B18="fr"),'Normal uger'!$BC$48,0)</f>
        <v>0</v>
      </c>
      <c r="BD18" s="655">
        <f>IF(AND(C18="Normal uge 5",B18="ma"),'Normal uger'!$BI$48,0)</f>
        <v>0</v>
      </c>
      <c r="BE18" s="655">
        <f>IF(AND(C18="Normal uge 5",B18="ti"),'Normal uger'!$BK$48,0)</f>
        <v>0</v>
      </c>
      <c r="BF18" s="655">
        <f>IF(AND(C18="Normal uge 5",B18="on"),'Normal uger'!$BM$48,0)</f>
        <v>0</v>
      </c>
      <c r="BG18" s="655">
        <f>IF(AND(C18="Normal uge 5",B18="to"),'Normal uger'!$BO$48,0)</f>
        <v>0</v>
      </c>
      <c r="BH18" s="655">
        <f>IF(AND(C18="Normal uge 5",B18="fr"),'Normal uger'!$BQ$48,0)</f>
        <v>0</v>
      </c>
      <c r="BI18" s="654">
        <f>IF(AND(C18="Normal uge 6",B18="ma"),'Normal uger'!$BW$48,0)</f>
        <v>0</v>
      </c>
      <c r="BJ18" s="654">
        <f>IF(AND(C18="Normal uge 6",B18="ti"),'Normal uger'!$BY$48,0)</f>
        <v>0</v>
      </c>
      <c r="BK18" s="654">
        <f>IF(AND(C18="Normal uge 6",B18="on"),'Normal uger'!$CA$48,0)</f>
        <v>0</v>
      </c>
      <c r="BL18" s="654">
        <f>IF(AND(C18="Normal uge 6",B18="to"),'Normal uger'!$CC$48,0)</f>
        <v>0</v>
      </c>
      <c r="BM18" s="654">
        <f>IF(AND(C18="Normal uge 6",B18="fr"),'Normal uger'!$CE$48,0)</f>
        <v>0</v>
      </c>
      <c r="BN18" s="1">
        <f t="shared" si="21"/>
        <v>0</v>
      </c>
      <c r="BO18" s="125">
        <f t="shared" si="4"/>
        <v>0</v>
      </c>
      <c r="BP18" s="358">
        <f t="shared" si="5"/>
        <v>0</v>
      </c>
      <c r="BQ18" s="358">
        <f t="shared" si="22"/>
        <v>0</v>
      </c>
      <c r="BR18" s="358">
        <f t="shared" si="6"/>
        <v>0</v>
      </c>
      <c r="BS18" s="358">
        <f t="shared" si="7"/>
        <v>0</v>
      </c>
      <c r="BT18" s="358">
        <f t="shared" si="8"/>
        <v>0</v>
      </c>
      <c r="BU18" s="358">
        <f>IF(C18="Rul 1",Rul!$E$49,0)</f>
        <v>0</v>
      </c>
      <c r="BV18" s="358">
        <f>IF(C18="Rul 2",Rul!$G$49,0)</f>
        <v>0</v>
      </c>
      <c r="BW18" s="358">
        <f>IF(C18="Rul 3",Rul!$I$49,0)</f>
        <v>0</v>
      </c>
      <c r="BX18" s="358">
        <f>IF(C18="Rul 4",Rul!$K$49,0)</f>
        <v>0</v>
      </c>
      <c r="BY18" s="358">
        <f>IF(C18="Rul 5",Rul!$M$49,0)</f>
        <v>0</v>
      </c>
      <c r="BZ18" s="358">
        <f>IF(C18="Rul 6",Rul!$O$49,0)</f>
        <v>0</v>
      </c>
      <c r="CA18" s="359">
        <f>IF(AND(C18="Normal uge 1",B18="ma"),'Normal uger'!$E$51,0)</f>
        <v>0</v>
      </c>
      <c r="CB18" s="359">
        <f>IF(AND(C18="Normal uge 1",B18="ti"),'Normal uger'!$G$51,0)</f>
        <v>0</v>
      </c>
      <c r="CC18" s="359">
        <f>IF(AND(C18="Normal uge 1",B18="on"),'Normal uger'!$I$51,0)</f>
        <v>0</v>
      </c>
      <c r="CD18" s="359">
        <f>IF(AND(C18="Normal uge 1",B18="to"),'Normal uger'!$K$51,0)</f>
        <v>0</v>
      </c>
      <c r="CE18" s="359">
        <f>IF(AND(C18="Normal uge 1",B18="fr"),'Normal uger'!$M$51,0)</f>
        <v>0</v>
      </c>
      <c r="CF18" s="360">
        <f>IF(AND(C18="Normal uge 2",B18="ma"),'Normal uger'!$S$51,0)</f>
        <v>0</v>
      </c>
      <c r="CG18" s="360">
        <f>IF(AND(C18="Normal uge 2",B18="ti"),'Normal uger'!$U$51,0)</f>
        <v>0</v>
      </c>
      <c r="CH18" s="360">
        <f>IF(AND(C18="Normal uge 2",B18="on"),'Normal uger'!$W$51,0)</f>
        <v>0</v>
      </c>
      <c r="CI18" s="360">
        <f>IF(AND(C18="Normal uge 2",B18="to"),'Normal uger'!$Y$51,0)</f>
        <v>0</v>
      </c>
      <c r="CJ18" s="360">
        <f>IF(AND(C18="Normal uge 2",B18="fr"),'Normal uger'!$AA$51,0)</f>
        <v>0</v>
      </c>
      <c r="CK18" s="361">
        <f>IF(AND(C18="Normal uge 3",B18="ma"),'Normal uger'!$AG$51,0)</f>
        <v>0</v>
      </c>
      <c r="CL18" s="361">
        <f>IF(AND(C18="Normal uge 3",B18="ti"),'Normal uger'!$AI$51,0)</f>
        <v>0</v>
      </c>
      <c r="CM18" s="361">
        <f>IF(AND(C18="Normal uge 3",B18="on"),'Normal uger'!$AK$51,0)</f>
        <v>0</v>
      </c>
      <c r="CN18" s="361">
        <f>IF(AND(C18="Normal uge 3",B18="to"),'Normal uger'!$AM$51,0)</f>
        <v>0</v>
      </c>
      <c r="CO18" s="361">
        <f>IF(AND(C18="Normal uge 3",B18="fr"),'Normal uger'!$AO$51,0)</f>
        <v>0</v>
      </c>
      <c r="CP18" s="362">
        <f>IF(AND(C18="Normal uge 4",B18="ma"),'Normal uger'!$AU$51,0)</f>
        <v>0</v>
      </c>
      <c r="CQ18" s="362">
        <f>IF(AND(C18="Normal uge 4",B18="ti"),'Normal uger'!$AW$51,0)</f>
        <v>0</v>
      </c>
      <c r="CR18" s="362">
        <f>IF(AND(C18="Normal uge 4",B18="on"),'Normal uger'!$AY$51,0)</f>
        <v>0</v>
      </c>
      <c r="CS18" s="362">
        <f>IF(AND(C18="Normal uge 4",B18="to"),'Normal uger'!$BA$51,0)</f>
        <v>0</v>
      </c>
      <c r="CT18" s="362">
        <f>IF(AND(C18="Normal uge 4",B18="fr"),'Normal uger'!$BC$51,0)</f>
        <v>0</v>
      </c>
      <c r="CU18" s="655">
        <f>IF(AND(C18="Normal uge 5",B18="ma"),'Normal uger'!$BI$51,0)</f>
        <v>0</v>
      </c>
      <c r="CV18" s="655">
        <f>IF(AND(C18="Normal uge 5",B18="ti"),'Normal uger'!$BK$51,0)</f>
        <v>0</v>
      </c>
      <c r="CW18" s="655">
        <f>IF(AND(C18="Normal uge 5",B18="on"),'Normal uger'!$BM$51,0)</f>
        <v>0</v>
      </c>
      <c r="CX18" s="655">
        <f>IF(AND(C18="Normal uge 5",B18="to"),'Normal uger'!$BO$51,0)</f>
        <v>0</v>
      </c>
      <c r="CY18" s="655">
        <f>IF(AND(C18="Normal uge 5",B18="fr"),'Normal uger'!$BQ$51,0)</f>
        <v>0</v>
      </c>
      <c r="CZ18" s="654">
        <f>IF(AND(C18="Normal uge 6",B18="ma"),'Normal uger'!$BW$51,0)</f>
        <v>0</v>
      </c>
      <c r="DA18" s="654">
        <f>IF(AND(C18="Normal uge 6",B18="ti"),'Normal uger'!$BY$51,0)</f>
        <v>0</v>
      </c>
      <c r="DB18" s="654">
        <f>IF(AND(C18="Normal uge 6",B18="on"),'Normal uger'!$CA$51,0)</f>
        <v>0</v>
      </c>
      <c r="DC18" s="654">
        <f>IF(AND(C18="Normal uge 6",B18="to"),'Normal uger'!$CC$51,0)</f>
        <v>0</v>
      </c>
      <c r="DD18" s="654">
        <f>IF(AND(C18="Normal uge 6",B18="fr"),'Normal uger'!$CE$51,0)</f>
        <v>0</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5</v>
      </c>
      <c r="B19" s="72" t="str">
        <f t="shared" si="0"/>
        <v>sø</v>
      </c>
      <c r="C19" s="73" t="s">
        <v>77</v>
      </c>
      <c r="D19" s="74" t="str">
        <f t="shared" si="1"/>
        <v/>
      </c>
      <c r="E19" s="858"/>
      <c r="F19" s="859"/>
      <c r="G19" s="860"/>
      <c r="H19" s="175"/>
      <c r="I19" s="221"/>
      <c r="J19" s="221"/>
      <c r="K19" s="191">
        <f t="shared" si="14"/>
        <v>0</v>
      </c>
      <c r="L19" s="191">
        <f t="shared" si="15"/>
        <v>0</v>
      </c>
      <c r="M19" s="238"/>
      <c r="N19" s="357"/>
      <c r="O19" s="408"/>
      <c r="P19" s="195"/>
      <c r="Q19" s="196"/>
      <c r="R19" s="196"/>
      <c r="S19" s="192"/>
      <c r="T19" s="255"/>
      <c r="U19" s="193"/>
      <c r="V19">
        <f t="shared" si="16"/>
        <v>0</v>
      </c>
      <c r="W19">
        <f t="shared" si="2"/>
        <v>0</v>
      </c>
      <c r="X19" s="358">
        <f t="shared" si="17"/>
        <v>0</v>
      </c>
      <c r="Y19" s="358">
        <f t="shared" si="18"/>
        <v>0</v>
      </c>
      <c r="Z19" s="358">
        <f t="shared" si="3"/>
        <v>0</v>
      </c>
      <c r="AA19" s="358">
        <f t="shared" si="19"/>
        <v>0</v>
      </c>
      <c r="AB19" s="358">
        <f t="shared" si="20"/>
        <v>0</v>
      </c>
      <c r="AC19" s="358">
        <f>IF(C19="Orlov",Stamoplysninger!$E$21*7.4,0)</f>
        <v>0</v>
      </c>
      <c r="AD19" s="358">
        <f>IF(C19="Rul 1",Rul!$E$46,0)</f>
        <v>0</v>
      </c>
      <c r="AE19" s="358">
        <f>IF(C19="Rul 2",Rul!$G$46,0)</f>
        <v>0</v>
      </c>
      <c r="AF19" s="358">
        <f>IF(C19="Rul 3",Rul!$I$46,0)</f>
        <v>0</v>
      </c>
      <c r="AG19" s="358">
        <f>IF(C19="Rul 4",Rul!$K$46,0)</f>
        <v>0</v>
      </c>
      <c r="AH19" s="358">
        <f>IF(C19="Rul 5",Rul!$M$46,0)</f>
        <v>0</v>
      </c>
      <c r="AI19" s="358">
        <f>IF(C19="Rul 6",Rul!$O$46,0)</f>
        <v>0</v>
      </c>
      <c r="AJ19" s="359">
        <f>IF(AND(C19="Normal uge 1",B19="ma"),'Normal uger'!$E$48,0)</f>
        <v>0</v>
      </c>
      <c r="AK19" s="359">
        <f>IF(AND(C19="Normal uge 1",B19="ti"),'Normal uger'!$G$48,0)</f>
        <v>0</v>
      </c>
      <c r="AL19" s="359">
        <f>IF(AND(C19="Normal uge 1",B19="on"),'Normal uger'!$I$48,0)</f>
        <v>0</v>
      </c>
      <c r="AM19" s="359">
        <f>IF(AND(C19="Normal uge 1",B19="to"),'Normal uger'!$K$48,0)</f>
        <v>0</v>
      </c>
      <c r="AN19" s="359">
        <f>IF(AND(C19="Normal uge 1",B19="fr"),'Normal uger'!$M$48,0)</f>
        <v>0</v>
      </c>
      <c r="AO19" s="360">
        <f>IF(AND(C19="Normal uge 2",B19="ma"),'Normal uger'!$S$48,0)</f>
        <v>0</v>
      </c>
      <c r="AP19" s="360">
        <f>IF(AND(C19="Normal uge 2",B19="ti"),'Normal uger'!$U$48,0)</f>
        <v>0</v>
      </c>
      <c r="AQ19" s="360">
        <f>IF(AND(C19="Normal uge 2",B19="on"),'Normal uger'!$W$48,0)</f>
        <v>0</v>
      </c>
      <c r="AR19" s="360">
        <f>IF(AND(C19="Normal uge 2",B19="to"),'Normal uger'!$Y$48,0)</f>
        <v>0</v>
      </c>
      <c r="AS19" s="360">
        <f>IF(AND(C19="Normal uge 2",B19="fr"),'Normal uger'!$AA$48,0)</f>
        <v>0</v>
      </c>
      <c r="AT19" s="361">
        <f>IF(AND(C19="Normal uge 3",B19="ma"),'Normal uger'!$AG$48,0)</f>
        <v>0</v>
      </c>
      <c r="AU19" s="361">
        <f>IF(AND(C19="Normal uge 3",B19="ti"),'Normal uger'!$AI$48,0)</f>
        <v>0</v>
      </c>
      <c r="AV19" s="361">
        <f>IF(AND(C19="Normal uge 3",B19="on"),'Normal uger'!$AK$48,0)</f>
        <v>0</v>
      </c>
      <c r="AW19" s="361">
        <f>IF(AND(C19="Normal uge 3",B19="to"),'Normal uger'!$AM$48,0)</f>
        <v>0</v>
      </c>
      <c r="AX19" s="361">
        <f>IF(AND(C19="Normal uge 3",B19="fr"),'Normal uger'!$AO$48,0)</f>
        <v>0</v>
      </c>
      <c r="AY19" s="362">
        <f>IF(AND(C19="Normal uge 4",B19="ma"),'Normal uger'!$AU$48,0)</f>
        <v>0</v>
      </c>
      <c r="AZ19" s="362">
        <f>IF(AND(C19="Normal uge 4",B19="ti"),'Normal uger'!$AW$48,0)</f>
        <v>0</v>
      </c>
      <c r="BA19" s="362">
        <f>IF(AND(C19="Normal uge 4",B19="on"),'Normal uger'!$AY$48,0)</f>
        <v>0</v>
      </c>
      <c r="BB19" s="362">
        <f>IF(AND(C19="Normal uge 4",B19="to"),'Normal uger'!$BA$48,0)</f>
        <v>0</v>
      </c>
      <c r="BC19" s="362">
        <f>IF(AND(C19="Normal uge 4",B19="fr"),'Normal uger'!$BC$48,0)</f>
        <v>0</v>
      </c>
      <c r="BD19" s="655">
        <f>IF(AND(C19="Normal uge 5",B19="ma"),'Normal uger'!$BI$48,0)</f>
        <v>0</v>
      </c>
      <c r="BE19" s="655">
        <f>IF(AND(C19="Normal uge 5",B19="ti"),'Normal uger'!$BK$48,0)</f>
        <v>0</v>
      </c>
      <c r="BF19" s="655">
        <f>IF(AND(C19="Normal uge 5",B19="on"),'Normal uger'!$BM$48,0)</f>
        <v>0</v>
      </c>
      <c r="BG19" s="655">
        <f>IF(AND(C19="Normal uge 5",B19="to"),'Normal uger'!$BO$48,0)</f>
        <v>0</v>
      </c>
      <c r="BH19" s="655">
        <f>IF(AND(C19="Normal uge 5",B19="fr"),'Normal uger'!$BQ$48,0)</f>
        <v>0</v>
      </c>
      <c r="BI19" s="654">
        <f>IF(AND(C19="Normal uge 6",B19="ma"),'Normal uger'!$BW$48,0)</f>
        <v>0</v>
      </c>
      <c r="BJ19" s="654">
        <f>IF(AND(C19="Normal uge 6",B19="ti"),'Normal uger'!$BY$48,0)</f>
        <v>0</v>
      </c>
      <c r="BK19" s="654">
        <f>IF(AND(C19="Normal uge 6",B19="on"),'Normal uger'!$CA$48,0)</f>
        <v>0</v>
      </c>
      <c r="BL19" s="654">
        <f>IF(AND(C19="Normal uge 6",B19="to"),'Normal uger'!$CC$48,0)</f>
        <v>0</v>
      </c>
      <c r="BM19" s="654">
        <f>IF(AND(C19="Normal uge 6",B19="fr"),'Normal uger'!$CE$48,0)</f>
        <v>0</v>
      </c>
      <c r="BN19" s="1">
        <f t="shared" si="21"/>
        <v>0</v>
      </c>
      <c r="BO19" s="125">
        <f t="shared" si="4"/>
        <v>0</v>
      </c>
      <c r="BP19" s="358">
        <f t="shared" si="5"/>
        <v>0</v>
      </c>
      <c r="BQ19" s="358">
        <f t="shared" si="22"/>
        <v>0</v>
      </c>
      <c r="BR19" s="358">
        <f t="shared" si="6"/>
        <v>0</v>
      </c>
      <c r="BS19" s="358">
        <f t="shared" si="7"/>
        <v>0</v>
      </c>
      <c r="BT19" s="358">
        <f t="shared" si="8"/>
        <v>0</v>
      </c>
      <c r="BU19" s="358">
        <f>IF(C19="Rul 1",Rul!$E$49,0)</f>
        <v>0</v>
      </c>
      <c r="BV19" s="358">
        <f>IF(C19="Rul 2",Rul!$G$49,0)</f>
        <v>0</v>
      </c>
      <c r="BW19" s="358">
        <f>IF(C19="Rul 3",Rul!$I$49,0)</f>
        <v>0</v>
      </c>
      <c r="BX19" s="358">
        <f>IF(C19="Rul 4",Rul!$K$49,0)</f>
        <v>0</v>
      </c>
      <c r="BY19" s="358">
        <f>IF(C19="Rul 5",Rul!$M$49,0)</f>
        <v>0</v>
      </c>
      <c r="BZ19" s="358">
        <f>IF(C19="Rul 6",Rul!$O$49,0)</f>
        <v>0</v>
      </c>
      <c r="CA19" s="359">
        <f>IF(AND(C19="Normal uge 1",B19="ma"),'Normal uger'!$E$51,0)</f>
        <v>0</v>
      </c>
      <c r="CB19" s="359">
        <f>IF(AND(C19="Normal uge 1",B19="ti"),'Normal uger'!$G$51,0)</f>
        <v>0</v>
      </c>
      <c r="CC19" s="359">
        <f>IF(AND(C19="Normal uge 1",B19="on"),'Normal uger'!$I$51,0)</f>
        <v>0</v>
      </c>
      <c r="CD19" s="359">
        <f>IF(AND(C19="Normal uge 1",B19="to"),'Normal uger'!$K$51,0)</f>
        <v>0</v>
      </c>
      <c r="CE19" s="359">
        <f>IF(AND(C19="Normal uge 1",B19="fr"),'Normal uger'!$M$51,0)</f>
        <v>0</v>
      </c>
      <c r="CF19" s="360">
        <f>IF(AND(C19="Normal uge 2",B19="ma"),'Normal uger'!$S$51,0)</f>
        <v>0</v>
      </c>
      <c r="CG19" s="360">
        <f>IF(AND(C19="Normal uge 2",B19="ti"),'Normal uger'!$U$51,0)</f>
        <v>0</v>
      </c>
      <c r="CH19" s="360">
        <f>IF(AND(C19="Normal uge 2",B19="on"),'Normal uger'!$W$51,0)</f>
        <v>0</v>
      </c>
      <c r="CI19" s="360">
        <f>IF(AND(C19="Normal uge 2",B19="to"),'Normal uger'!$Y$51,0)</f>
        <v>0</v>
      </c>
      <c r="CJ19" s="360">
        <f>IF(AND(C19="Normal uge 2",B19="fr"),'Normal uger'!$AA$51,0)</f>
        <v>0</v>
      </c>
      <c r="CK19" s="361">
        <f>IF(AND(C19="Normal uge 3",B19="ma"),'Normal uger'!$AG$51,0)</f>
        <v>0</v>
      </c>
      <c r="CL19" s="361">
        <f>IF(AND(C19="Normal uge 3",B19="ti"),'Normal uger'!$AI$51,0)</f>
        <v>0</v>
      </c>
      <c r="CM19" s="361">
        <f>IF(AND(C19="Normal uge 3",B19="on"),'Normal uger'!$AK$51,0)</f>
        <v>0</v>
      </c>
      <c r="CN19" s="361">
        <f>IF(AND(C19="Normal uge 3",B19="to"),'Normal uger'!$AM$51,0)</f>
        <v>0</v>
      </c>
      <c r="CO19" s="361">
        <f>IF(AND(C19="Normal uge 3",B19="fr"),'Normal uger'!$AO$51,0)</f>
        <v>0</v>
      </c>
      <c r="CP19" s="362">
        <f>IF(AND(C19="Normal uge 4",B19="ma"),'Normal uger'!$AU$51,0)</f>
        <v>0</v>
      </c>
      <c r="CQ19" s="362">
        <f>IF(AND(C19="Normal uge 4",B19="ti"),'Normal uger'!$AW$51,0)</f>
        <v>0</v>
      </c>
      <c r="CR19" s="362">
        <f>IF(AND(C19="Normal uge 4",B19="on"),'Normal uger'!$AY$51,0)</f>
        <v>0</v>
      </c>
      <c r="CS19" s="362">
        <f>IF(AND(C19="Normal uge 4",B19="to"),'Normal uger'!$BA$51,0)</f>
        <v>0</v>
      </c>
      <c r="CT19" s="362">
        <f>IF(AND(C19="Normal uge 4",B19="fr"),'Normal uger'!$BC$51,0)</f>
        <v>0</v>
      </c>
      <c r="CU19" s="655">
        <f>IF(AND(C19="Normal uge 5",B19="ma"),'Normal uger'!$BI$51,0)</f>
        <v>0</v>
      </c>
      <c r="CV19" s="655">
        <f>IF(AND(C19="Normal uge 5",B19="ti"),'Normal uger'!$BK$51,0)</f>
        <v>0</v>
      </c>
      <c r="CW19" s="655">
        <f>IF(AND(C19="Normal uge 5",B19="on"),'Normal uger'!$BM$51,0)</f>
        <v>0</v>
      </c>
      <c r="CX19" s="655">
        <f>IF(AND(C19="Normal uge 5",B19="to"),'Normal uger'!$BO$51,0)</f>
        <v>0</v>
      </c>
      <c r="CY19" s="655">
        <f>IF(AND(C19="Normal uge 5",B19="fr"),'Normal uger'!$BQ$51,0)</f>
        <v>0</v>
      </c>
      <c r="CZ19" s="654">
        <f>IF(AND(C19="Normal uge 6",B19="ma"),'Normal uger'!$BW$51,0)</f>
        <v>0</v>
      </c>
      <c r="DA19" s="654">
        <f>IF(AND(C19="Normal uge 6",B19="ti"),'Normal uger'!$BY$51,0)</f>
        <v>0</v>
      </c>
      <c r="DB19" s="654">
        <f>IF(AND(C19="Normal uge 6",B19="on"),'Normal uger'!$CA$51,0)</f>
        <v>0</v>
      </c>
      <c r="DC19" s="654">
        <f>IF(AND(C19="Normal uge 6",B19="to"),'Normal uger'!$CC$51,0)</f>
        <v>0</v>
      </c>
      <c r="DD19" s="654">
        <f>IF(AND(C19="Normal uge 6",B19="fr"),'Normal uger'!$CE$51,0)</f>
        <v>0</v>
      </c>
      <c r="DE19" s="1">
        <f t="shared" si="23"/>
        <v>0</v>
      </c>
      <c r="DF19" t="str">
        <f t="shared" si="9"/>
        <v/>
      </c>
      <c r="DG19">
        <f t="shared" si="10"/>
        <v>0</v>
      </c>
      <c r="DH19">
        <f t="shared" si="11"/>
        <v>0</v>
      </c>
      <c r="DI19" t="str">
        <f t="shared" si="12"/>
        <v/>
      </c>
      <c r="DJ19" t="str">
        <f t="shared" si="12"/>
        <v/>
      </c>
      <c r="DK19" t="str">
        <f t="shared" si="12"/>
        <v/>
      </c>
      <c r="DL19" t="str">
        <f t="shared" si="24"/>
        <v/>
      </c>
    </row>
    <row r="20" spans="1:116" ht="16" customHeight="1">
      <c r="A20" s="135">
        <f t="shared" si="13"/>
        <v>6</v>
      </c>
      <c r="B20" s="72" t="str">
        <f t="shared" si="0"/>
        <v>ma</v>
      </c>
      <c r="C20" s="73" t="s">
        <v>217</v>
      </c>
      <c r="D20" s="74">
        <f t="shared" si="1"/>
        <v>27.571428571428573</v>
      </c>
      <c r="E20" s="858"/>
      <c r="F20" s="859"/>
      <c r="G20" s="860"/>
      <c r="H20" s="175"/>
      <c r="I20" s="221"/>
      <c r="J20" s="221"/>
      <c r="K20" s="191">
        <f t="shared" si="14"/>
        <v>0</v>
      </c>
      <c r="L20" s="191">
        <f t="shared" si="15"/>
        <v>0</v>
      </c>
      <c r="M20" s="238"/>
      <c r="N20" s="357"/>
      <c r="O20" s="408"/>
      <c r="P20" s="195"/>
      <c r="Q20" s="196"/>
      <c r="R20" s="196"/>
      <c r="S20" s="192"/>
      <c r="T20" s="255"/>
      <c r="U20" s="193"/>
      <c r="V20">
        <f t="shared" si="16"/>
        <v>0</v>
      </c>
      <c r="W20">
        <f t="shared" si="2"/>
        <v>0</v>
      </c>
      <c r="X20" s="358">
        <f t="shared" si="17"/>
        <v>0</v>
      </c>
      <c r="Y20" s="358">
        <f t="shared" si="18"/>
        <v>0</v>
      </c>
      <c r="Z20" s="358">
        <f t="shared" si="3"/>
        <v>0</v>
      </c>
      <c r="AA20" s="358">
        <f t="shared" si="19"/>
        <v>0</v>
      </c>
      <c r="AB20" s="358">
        <f t="shared" si="20"/>
        <v>0</v>
      </c>
      <c r="AC20" s="358">
        <f>IF(C20="Orlov",Stamoplysninger!$E$21*7.4,0)</f>
        <v>0</v>
      </c>
      <c r="AD20" s="358">
        <f>IF(C20="Rul 1",Rul!$E$46,0)</f>
        <v>0</v>
      </c>
      <c r="AE20" s="358">
        <f>IF(C20="Rul 2",Rul!$G$46,0)</f>
        <v>0</v>
      </c>
      <c r="AF20" s="358">
        <f>IF(C20="Rul 3",Rul!$I$46,0)</f>
        <v>0</v>
      </c>
      <c r="AG20" s="358">
        <f>IF(C20="Rul 4",Rul!$K$46,0)</f>
        <v>0</v>
      </c>
      <c r="AH20" s="358">
        <f>IF(C20="Rul 5",Rul!$M$46,0)</f>
        <v>0</v>
      </c>
      <c r="AI20" s="358">
        <f>IF(C20="Rul 6",Rul!$O$46,0)</f>
        <v>0</v>
      </c>
      <c r="AJ20" s="359">
        <f>IF(AND(C20="Normal uge 1",B20="ma"),'Normal uger'!$E$48,0)</f>
        <v>0</v>
      </c>
      <c r="AK20" s="359">
        <f>IF(AND(C20="Normal uge 1",B20="ti"),'Normal uger'!$G$48,0)</f>
        <v>0</v>
      </c>
      <c r="AL20" s="359">
        <f>IF(AND(C20="Normal uge 1",B20="on"),'Normal uger'!$I$48,0)</f>
        <v>0</v>
      </c>
      <c r="AM20" s="359">
        <f>IF(AND(C20="Normal uge 1",B20="to"),'Normal uger'!$K$48,0)</f>
        <v>0</v>
      </c>
      <c r="AN20" s="359">
        <f>IF(AND(C20="Normal uge 1",B20="fr"),'Normal uger'!$M$48,0)</f>
        <v>0</v>
      </c>
      <c r="AO20" s="360">
        <f>IF(AND(C20="Normal uge 2",B20="ma"),'Normal uger'!$S$48,0)</f>
        <v>0</v>
      </c>
      <c r="AP20" s="360">
        <f>IF(AND(C20="Normal uge 2",B20="ti"),'Normal uger'!$U$48,0)</f>
        <v>0</v>
      </c>
      <c r="AQ20" s="360">
        <f>IF(AND(C20="Normal uge 2",B20="on"),'Normal uger'!$W$48,0)</f>
        <v>0</v>
      </c>
      <c r="AR20" s="360">
        <f>IF(AND(C20="Normal uge 2",B20="to"),'Normal uger'!$Y$48,0)</f>
        <v>0</v>
      </c>
      <c r="AS20" s="360">
        <f>IF(AND(C20="Normal uge 2",B20="fr"),'Normal uger'!$AA$48,0)</f>
        <v>0</v>
      </c>
      <c r="AT20" s="361">
        <f>IF(AND(C20="Normal uge 3",B20="ma"),'Normal uger'!$AG$48,0)</f>
        <v>0</v>
      </c>
      <c r="AU20" s="361">
        <f>IF(AND(C20="Normal uge 3",B20="ti"),'Normal uger'!$AI$48,0)</f>
        <v>0</v>
      </c>
      <c r="AV20" s="361">
        <f>IF(AND(C20="Normal uge 3",B20="on"),'Normal uger'!$AK$48,0)</f>
        <v>0</v>
      </c>
      <c r="AW20" s="361">
        <f>IF(AND(C20="Normal uge 3",B20="to"),'Normal uger'!$AM$48,0)</f>
        <v>0</v>
      </c>
      <c r="AX20" s="361">
        <f>IF(AND(C20="Normal uge 3",B20="fr"),'Normal uger'!$AO$48,0)</f>
        <v>0</v>
      </c>
      <c r="AY20" s="362">
        <f>IF(AND(C20="Normal uge 4",B20="ma"),'Normal uger'!$AU$48,0)</f>
        <v>0</v>
      </c>
      <c r="AZ20" s="362">
        <f>IF(AND(C20="Normal uge 4",B20="ti"),'Normal uger'!$AW$48,0)</f>
        <v>0</v>
      </c>
      <c r="BA20" s="362">
        <f>IF(AND(C20="Normal uge 4",B20="on"),'Normal uger'!$AY$48,0)</f>
        <v>0</v>
      </c>
      <c r="BB20" s="362">
        <f>IF(AND(C20="Normal uge 4",B20="to"),'Normal uger'!$BA$48,0)</f>
        <v>0</v>
      </c>
      <c r="BC20" s="362">
        <f>IF(AND(C20="Normal uge 4",B20="fr"),'Normal uger'!$BC$48,0)</f>
        <v>0</v>
      </c>
      <c r="BD20" s="655">
        <f>IF(AND(C20="Normal uge 5",B20="ma"),'Normal uger'!$BI$48,0)</f>
        <v>0</v>
      </c>
      <c r="BE20" s="655">
        <f>IF(AND(C20="Normal uge 5",B20="ti"),'Normal uger'!$BK$48,0)</f>
        <v>0</v>
      </c>
      <c r="BF20" s="655">
        <f>IF(AND(C20="Normal uge 5",B20="on"),'Normal uger'!$BM$48,0)</f>
        <v>0</v>
      </c>
      <c r="BG20" s="655">
        <f>IF(AND(C20="Normal uge 5",B20="to"),'Normal uger'!$BO$48,0)</f>
        <v>0</v>
      </c>
      <c r="BH20" s="655">
        <f>IF(AND(C20="Normal uge 5",B20="fr"),'Normal uger'!$BQ$48,0)</f>
        <v>0</v>
      </c>
      <c r="BI20" s="654">
        <f>IF(AND(C20="Normal uge 6",B20="ma"),'Normal uger'!$BW$48,0)</f>
        <v>0</v>
      </c>
      <c r="BJ20" s="654">
        <f>IF(AND(C20="Normal uge 6",B20="ti"),'Normal uger'!$BY$48,0)</f>
        <v>0</v>
      </c>
      <c r="BK20" s="654">
        <f>IF(AND(C20="Normal uge 6",B20="on"),'Normal uger'!$CA$48,0)</f>
        <v>0</v>
      </c>
      <c r="BL20" s="654">
        <f>IF(AND(C20="Normal uge 6",B20="to"),'Normal uger'!$CC$48,0)</f>
        <v>0</v>
      </c>
      <c r="BM20" s="654">
        <f>IF(AND(C20="Normal uge 6",B20="fr"),'Normal uger'!$CE$48,0)</f>
        <v>0</v>
      </c>
      <c r="BN20" s="1">
        <f t="shared" si="21"/>
        <v>0</v>
      </c>
      <c r="BO20" s="125">
        <f t="shared" si="4"/>
        <v>0</v>
      </c>
      <c r="BP20" s="358">
        <f t="shared" si="5"/>
        <v>0</v>
      </c>
      <c r="BQ20" s="358">
        <f t="shared" si="22"/>
        <v>0</v>
      </c>
      <c r="BR20" s="358">
        <f t="shared" si="6"/>
        <v>0</v>
      </c>
      <c r="BS20" s="358">
        <f t="shared" si="7"/>
        <v>0</v>
      </c>
      <c r="BT20" s="358">
        <f t="shared" si="8"/>
        <v>0</v>
      </c>
      <c r="BU20" s="358">
        <f>IF(C20="Rul 1",Rul!$E$49,0)</f>
        <v>0</v>
      </c>
      <c r="BV20" s="358">
        <f>IF(C20="Rul 2",Rul!$G$49,0)</f>
        <v>0</v>
      </c>
      <c r="BW20" s="358">
        <f>IF(C20="Rul 3",Rul!$I$49,0)</f>
        <v>0</v>
      </c>
      <c r="BX20" s="358">
        <f>IF(C20="Rul 4",Rul!$K$49,0)</f>
        <v>0</v>
      </c>
      <c r="BY20" s="358">
        <f>IF(C20="Rul 5",Rul!$M$49,0)</f>
        <v>0</v>
      </c>
      <c r="BZ20" s="358">
        <f>IF(C20="Rul 6",Rul!$O$49,0)</f>
        <v>0</v>
      </c>
      <c r="CA20" s="359">
        <f>IF(AND(C20="Normal uge 1",B20="ma"),'Normal uger'!$E$51,0)</f>
        <v>0</v>
      </c>
      <c r="CB20" s="359">
        <f>IF(AND(C20="Normal uge 1",B20="ti"),'Normal uger'!$G$51,0)</f>
        <v>0</v>
      </c>
      <c r="CC20" s="359">
        <f>IF(AND(C20="Normal uge 1",B20="on"),'Normal uger'!$I$51,0)</f>
        <v>0</v>
      </c>
      <c r="CD20" s="359">
        <f>IF(AND(C20="Normal uge 1",B20="to"),'Normal uger'!$K$51,0)</f>
        <v>0</v>
      </c>
      <c r="CE20" s="359">
        <f>IF(AND(C20="Normal uge 1",B20="fr"),'Normal uger'!$M$51,0)</f>
        <v>0</v>
      </c>
      <c r="CF20" s="360">
        <f>IF(AND(C20="Normal uge 2",B20="ma"),'Normal uger'!$S$51,0)</f>
        <v>0</v>
      </c>
      <c r="CG20" s="360">
        <f>IF(AND(C20="Normal uge 2",B20="ti"),'Normal uger'!$U$51,0)</f>
        <v>0</v>
      </c>
      <c r="CH20" s="360">
        <f>IF(AND(C20="Normal uge 2",B20="on"),'Normal uger'!$W$51,0)</f>
        <v>0</v>
      </c>
      <c r="CI20" s="360">
        <f>IF(AND(C20="Normal uge 2",B20="to"),'Normal uger'!$Y$51,0)</f>
        <v>0</v>
      </c>
      <c r="CJ20" s="360">
        <f>IF(AND(C20="Normal uge 2",B20="fr"),'Normal uger'!$AA$51,0)</f>
        <v>0</v>
      </c>
      <c r="CK20" s="361">
        <f>IF(AND(C20="Normal uge 3",B20="ma"),'Normal uger'!$AG$51,0)</f>
        <v>0</v>
      </c>
      <c r="CL20" s="361">
        <f>IF(AND(C20="Normal uge 3",B20="ti"),'Normal uger'!$AI$51,0)</f>
        <v>0</v>
      </c>
      <c r="CM20" s="361">
        <f>IF(AND(C20="Normal uge 3",B20="on"),'Normal uger'!$AK$51,0)</f>
        <v>0</v>
      </c>
      <c r="CN20" s="361">
        <f>IF(AND(C20="Normal uge 3",B20="to"),'Normal uger'!$AM$51,0)</f>
        <v>0</v>
      </c>
      <c r="CO20" s="361">
        <f>IF(AND(C20="Normal uge 3",B20="fr"),'Normal uger'!$AO$51,0)</f>
        <v>0</v>
      </c>
      <c r="CP20" s="362">
        <f>IF(AND(C20="Normal uge 4",B20="ma"),'Normal uger'!$AU$51,0)</f>
        <v>0</v>
      </c>
      <c r="CQ20" s="362">
        <f>IF(AND(C20="Normal uge 4",B20="ti"),'Normal uger'!$AW$51,0)</f>
        <v>0</v>
      </c>
      <c r="CR20" s="362">
        <f>IF(AND(C20="Normal uge 4",B20="on"),'Normal uger'!$AY$51,0)</f>
        <v>0</v>
      </c>
      <c r="CS20" s="362">
        <f>IF(AND(C20="Normal uge 4",B20="to"),'Normal uger'!$BA$51,0)</f>
        <v>0</v>
      </c>
      <c r="CT20" s="362">
        <f>IF(AND(C20="Normal uge 4",B20="fr"),'Normal uger'!$BC$51,0)</f>
        <v>0</v>
      </c>
      <c r="CU20" s="655">
        <f>IF(AND(C20="Normal uge 5",B20="ma"),'Normal uger'!$BI$51,0)</f>
        <v>0</v>
      </c>
      <c r="CV20" s="655">
        <f>IF(AND(C20="Normal uge 5",B20="ti"),'Normal uger'!$BK$51,0)</f>
        <v>0</v>
      </c>
      <c r="CW20" s="655">
        <f>IF(AND(C20="Normal uge 5",B20="on"),'Normal uger'!$BM$51,0)</f>
        <v>0</v>
      </c>
      <c r="CX20" s="655">
        <f>IF(AND(C20="Normal uge 5",B20="to"),'Normal uger'!$BO$51,0)</f>
        <v>0</v>
      </c>
      <c r="CY20" s="655">
        <f>IF(AND(C20="Normal uge 5",B20="fr"),'Normal uger'!$BQ$51,0)</f>
        <v>0</v>
      </c>
      <c r="CZ20" s="654">
        <f>IF(AND(C20="Normal uge 6",B20="ma"),'Normal uger'!$BW$51,0)</f>
        <v>0</v>
      </c>
      <c r="DA20" s="654">
        <f>IF(AND(C20="Normal uge 6",B20="ti"),'Normal uger'!$BY$51,0)</f>
        <v>0</v>
      </c>
      <c r="DB20" s="654">
        <f>IF(AND(C20="Normal uge 6",B20="on"),'Normal uger'!$CA$51,0)</f>
        <v>0</v>
      </c>
      <c r="DC20" s="654">
        <f>IF(AND(C20="Normal uge 6",B20="to"),'Normal uger'!$CC$51,0)</f>
        <v>0</v>
      </c>
      <c r="DD20" s="654">
        <f>IF(AND(C20="Normal uge 6",B20="fr"),'Normal uger'!$CE$51,0)</f>
        <v>0</v>
      </c>
      <c r="DE20" s="1">
        <f t="shared" si="23"/>
        <v>0</v>
      </c>
      <c r="DF20" t="str">
        <f t="shared" si="9"/>
        <v/>
      </c>
      <c r="DG20">
        <f t="shared" si="10"/>
        <v>0</v>
      </c>
      <c r="DH20">
        <f t="shared" si="11"/>
        <v>0</v>
      </c>
      <c r="DI20" t="str">
        <f t="shared" si="12"/>
        <v/>
      </c>
      <c r="DJ20" t="str">
        <f t="shared" si="12"/>
        <v/>
      </c>
      <c r="DK20" t="str">
        <f t="shared" si="12"/>
        <v/>
      </c>
      <c r="DL20" t="str">
        <f t="shared" si="24"/>
        <v/>
      </c>
    </row>
    <row r="21" spans="1:116" ht="16" customHeight="1">
      <c r="A21" s="135">
        <f t="shared" si="13"/>
        <v>7</v>
      </c>
      <c r="B21" s="72" t="str">
        <f t="shared" si="0"/>
        <v>ti</v>
      </c>
      <c r="C21" s="73" t="s">
        <v>217</v>
      </c>
      <c r="D21" s="74" t="str">
        <f t="shared" si="1"/>
        <v/>
      </c>
      <c r="E21" s="858"/>
      <c r="F21" s="859"/>
      <c r="G21" s="860"/>
      <c r="H21" s="175"/>
      <c r="I21" s="221"/>
      <c r="J21" s="221"/>
      <c r="K21" s="191">
        <f t="shared" si="14"/>
        <v>0</v>
      </c>
      <c r="L21" s="191">
        <f t="shared" si="15"/>
        <v>0</v>
      </c>
      <c r="M21" s="238"/>
      <c r="N21" s="357"/>
      <c r="O21" s="408"/>
      <c r="P21" s="195"/>
      <c r="Q21" s="196"/>
      <c r="R21" s="196"/>
      <c r="S21" s="192"/>
      <c r="T21" s="255"/>
      <c r="U21" s="193"/>
      <c r="V21">
        <f t="shared" si="16"/>
        <v>0</v>
      </c>
      <c r="W21">
        <f t="shared" si="2"/>
        <v>0</v>
      </c>
      <c r="X21" s="358">
        <f t="shared" si="17"/>
        <v>0</v>
      </c>
      <c r="Y21" s="358">
        <f t="shared" si="18"/>
        <v>0</v>
      </c>
      <c r="Z21" s="358">
        <f t="shared" si="3"/>
        <v>0</v>
      </c>
      <c r="AA21" s="358">
        <f t="shared" si="19"/>
        <v>0</v>
      </c>
      <c r="AB21" s="358">
        <f t="shared" si="20"/>
        <v>0</v>
      </c>
      <c r="AC21" s="358">
        <f>IF(C21="Orlov",Stamoplysninger!$E$21*7.4,0)</f>
        <v>0</v>
      </c>
      <c r="AD21" s="358">
        <f>IF(C21="Rul 1",Rul!$E$46,0)</f>
        <v>0</v>
      </c>
      <c r="AE21" s="358">
        <f>IF(C21="Rul 2",Rul!$G$46,0)</f>
        <v>0</v>
      </c>
      <c r="AF21" s="358">
        <f>IF(C21="Rul 3",Rul!$I$46,0)</f>
        <v>0</v>
      </c>
      <c r="AG21" s="358">
        <f>IF(C21="Rul 4",Rul!$K$46,0)</f>
        <v>0</v>
      </c>
      <c r="AH21" s="358">
        <f>IF(C21="Rul 5",Rul!$M$46,0)</f>
        <v>0</v>
      </c>
      <c r="AI21" s="358">
        <f>IF(C21="Rul 6",Rul!$O$46,0)</f>
        <v>0</v>
      </c>
      <c r="AJ21" s="359">
        <f>IF(AND(C21="Normal uge 1",B21="ma"),'Normal uger'!$E$48,0)</f>
        <v>0</v>
      </c>
      <c r="AK21" s="359">
        <f>IF(AND(C21="Normal uge 1",B21="ti"),'Normal uger'!$G$48,0)</f>
        <v>0</v>
      </c>
      <c r="AL21" s="359">
        <f>IF(AND(C21="Normal uge 1",B21="on"),'Normal uger'!$I$48,0)</f>
        <v>0</v>
      </c>
      <c r="AM21" s="359">
        <f>IF(AND(C21="Normal uge 1",B21="to"),'Normal uger'!$K$48,0)</f>
        <v>0</v>
      </c>
      <c r="AN21" s="359">
        <f>IF(AND(C21="Normal uge 1",B21="fr"),'Normal uger'!$M$48,0)</f>
        <v>0</v>
      </c>
      <c r="AO21" s="360">
        <f>IF(AND(C21="Normal uge 2",B21="ma"),'Normal uger'!$S$48,0)</f>
        <v>0</v>
      </c>
      <c r="AP21" s="360">
        <f>IF(AND(C21="Normal uge 2",B21="ti"),'Normal uger'!$U$48,0)</f>
        <v>0</v>
      </c>
      <c r="AQ21" s="360">
        <f>IF(AND(C21="Normal uge 2",B21="on"),'Normal uger'!$W$48,0)</f>
        <v>0</v>
      </c>
      <c r="AR21" s="360">
        <f>IF(AND(C21="Normal uge 2",B21="to"),'Normal uger'!$Y$48,0)</f>
        <v>0</v>
      </c>
      <c r="AS21" s="360">
        <f>IF(AND(C21="Normal uge 2",B21="fr"),'Normal uger'!$AA$48,0)</f>
        <v>0</v>
      </c>
      <c r="AT21" s="361">
        <f>IF(AND(C21="Normal uge 3",B21="ma"),'Normal uger'!$AG$48,0)</f>
        <v>0</v>
      </c>
      <c r="AU21" s="361">
        <f>IF(AND(C21="Normal uge 3",B21="ti"),'Normal uger'!$AI$48,0)</f>
        <v>0</v>
      </c>
      <c r="AV21" s="361">
        <f>IF(AND(C21="Normal uge 3",B21="on"),'Normal uger'!$AK$48,0)</f>
        <v>0</v>
      </c>
      <c r="AW21" s="361">
        <f>IF(AND(C21="Normal uge 3",B21="to"),'Normal uger'!$AM$48,0)</f>
        <v>0</v>
      </c>
      <c r="AX21" s="361">
        <f>IF(AND(C21="Normal uge 3",B21="fr"),'Normal uger'!$AO$48,0)</f>
        <v>0</v>
      </c>
      <c r="AY21" s="362">
        <f>IF(AND(C21="Normal uge 4",B21="ma"),'Normal uger'!$AU$48,0)</f>
        <v>0</v>
      </c>
      <c r="AZ21" s="362">
        <f>IF(AND(C21="Normal uge 4",B21="ti"),'Normal uger'!$AW$48,0)</f>
        <v>0</v>
      </c>
      <c r="BA21" s="362">
        <f>IF(AND(C21="Normal uge 4",B21="on"),'Normal uger'!$AY$48,0)</f>
        <v>0</v>
      </c>
      <c r="BB21" s="362">
        <f>IF(AND(C21="Normal uge 4",B21="to"),'Normal uger'!$BA$48,0)</f>
        <v>0</v>
      </c>
      <c r="BC21" s="362">
        <f>IF(AND(C21="Normal uge 4",B21="fr"),'Normal uger'!$BC$48,0)</f>
        <v>0</v>
      </c>
      <c r="BD21" s="655">
        <f>IF(AND(C21="Normal uge 5",B21="ma"),'Normal uger'!$BI$48,0)</f>
        <v>0</v>
      </c>
      <c r="BE21" s="655">
        <f>IF(AND(C21="Normal uge 5",B21="ti"),'Normal uger'!$BK$48,0)</f>
        <v>0</v>
      </c>
      <c r="BF21" s="655">
        <f>IF(AND(C21="Normal uge 5",B21="on"),'Normal uger'!$BM$48,0)</f>
        <v>0</v>
      </c>
      <c r="BG21" s="655">
        <f>IF(AND(C21="Normal uge 5",B21="to"),'Normal uger'!$BO$48,0)</f>
        <v>0</v>
      </c>
      <c r="BH21" s="655">
        <f>IF(AND(C21="Normal uge 5",B21="fr"),'Normal uger'!$BQ$48,0)</f>
        <v>0</v>
      </c>
      <c r="BI21" s="654">
        <f>IF(AND(C21="Normal uge 6",B21="ma"),'Normal uger'!$BW$48,0)</f>
        <v>0</v>
      </c>
      <c r="BJ21" s="654">
        <f>IF(AND(C21="Normal uge 6",B21="ti"),'Normal uger'!$BY$48,0)</f>
        <v>0</v>
      </c>
      <c r="BK21" s="654">
        <f>IF(AND(C21="Normal uge 6",B21="on"),'Normal uger'!$CA$48,0)</f>
        <v>0</v>
      </c>
      <c r="BL21" s="654">
        <f>IF(AND(C21="Normal uge 6",B21="to"),'Normal uger'!$CC$48,0)</f>
        <v>0</v>
      </c>
      <c r="BM21" s="654">
        <f>IF(AND(C21="Normal uge 6",B21="fr"),'Normal uger'!$CE$48,0)</f>
        <v>0</v>
      </c>
      <c r="BN21" s="1">
        <f t="shared" si="21"/>
        <v>0</v>
      </c>
      <c r="BO21" s="125">
        <f t="shared" si="4"/>
        <v>0</v>
      </c>
      <c r="BP21" s="358">
        <f t="shared" si="5"/>
        <v>0</v>
      </c>
      <c r="BQ21" s="358">
        <f t="shared" si="22"/>
        <v>0</v>
      </c>
      <c r="BR21" s="358">
        <f t="shared" si="6"/>
        <v>0</v>
      </c>
      <c r="BS21" s="358">
        <f t="shared" si="7"/>
        <v>0</v>
      </c>
      <c r="BT21" s="358">
        <f t="shared" si="8"/>
        <v>0</v>
      </c>
      <c r="BU21" s="358">
        <f>IF(C21="Rul 1",Rul!$E$49,0)</f>
        <v>0</v>
      </c>
      <c r="BV21" s="358">
        <f>IF(C21="Rul 2",Rul!$G$49,0)</f>
        <v>0</v>
      </c>
      <c r="BW21" s="358">
        <f>IF(C21="Rul 3",Rul!$I$49,0)</f>
        <v>0</v>
      </c>
      <c r="BX21" s="358">
        <f>IF(C21="Rul 4",Rul!$K$49,0)</f>
        <v>0</v>
      </c>
      <c r="BY21" s="358">
        <f>IF(C21="Rul 5",Rul!$M$49,0)</f>
        <v>0</v>
      </c>
      <c r="BZ21" s="358">
        <f>IF(C21="Rul 6",Rul!$O$49,0)</f>
        <v>0</v>
      </c>
      <c r="CA21" s="359">
        <f>IF(AND(C21="Normal uge 1",B21="ma"),'Normal uger'!$E$51,0)</f>
        <v>0</v>
      </c>
      <c r="CB21" s="359">
        <f>IF(AND(C21="Normal uge 1",B21="ti"),'Normal uger'!$G$51,0)</f>
        <v>0</v>
      </c>
      <c r="CC21" s="359">
        <f>IF(AND(C21="Normal uge 1",B21="on"),'Normal uger'!$I$51,0)</f>
        <v>0</v>
      </c>
      <c r="CD21" s="359">
        <f>IF(AND(C21="Normal uge 1",B21="to"),'Normal uger'!$K$51,0)</f>
        <v>0</v>
      </c>
      <c r="CE21" s="359">
        <f>IF(AND(C21="Normal uge 1",B21="fr"),'Normal uger'!$M$51,0)</f>
        <v>0</v>
      </c>
      <c r="CF21" s="360">
        <f>IF(AND(C21="Normal uge 2",B21="ma"),'Normal uger'!$S$51,0)</f>
        <v>0</v>
      </c>
      <c r="CG21" s="360">
        <f>IF(AND(C21="Normal uge 2",B21="ti"),'Normal uger'!$U$51,0)</f>
        <v>0</v>
      </c>
      <c r="CH21" s="360">
        <f>IF(AND(C21="Normal uge 2",B21="on"),'Normal uger'!$W$51,0)</f>
        <v>0</v>
      </c>
      <c r="CI21" s="360">
        <f>IF(AND(C21="Normal uge 2",B21="to"),'Normal uger'!$Y$51,0)</f>
        <v>0</v>
      </c>
      <c r="CJ21" s="360">
        <f>IF(AND(C21="Normal uge 2",B21="fr"),'Normal uger'!$AA$51,0)</f>
        <v>0</v>
      </c>
      <c r="CK21" s="361">
        <f>IF(AND(C21="Normal uge 3",B21="ma"),'Normal uger'!$AG$51,0)</f>
        <v>0</v>
      </c>
      <c r="CL21" s="361">
        <f>IF(AND(C21="Normal uge 3",B21="ti"),'Normal uger'!$AI$51,0)</f>
        <v>0</v>
      </c>
      <c r="CM21" s="361">
        <f>IF(AND(C21="Normal uge 3",B21="on"),'Normal uger'!$AK$51,0)</f>
        <v>0</v>
      </c>
      <c r="CN21" s="361">
        <f>IF(AND(C21="Normal uge 3",B21="to"),'Normal uger'!$AM$51,0)</f>
        <v>0</v>
      </c>
      <c r="CO21" s="361">
        <f>IF(AND(C21="Normal uge 3",B21="fr"),'Normal uger'!$AO$51,0)</f>
        <v>0</v>
      </c>
      <c r="CP21" s="362">
        <f>IF(AND(C21="Normal uge 4",B21="ma"),'Normal uger'!$AU$51,0)</f>
        <v>0</v>
      </c>
      <c r="CQ21" s="362">
        <f>IF(AND(C21="Normal uge 4",B21="ti"),'Normal uger'!$AW$51,0)</f>
        <v>0</v>
      </c>
      <c r="CR21" s="362">
        <f>IF(AND(C21="Normal uge 4",B21="on"),'Normal uger'!$AY$51,0)</f>
        <v>0</v>
      </c>
      <c r="CS21" s="362">
        <f>IF(AND(C21="Normal uge 4",B21="to"),'Normal uger'!$BA$51,0)</f>
        <v>0</v>
      </c>
      <c r="CT21" s="362">
        <f>IF(AND(C21="Normal uge 4",B21="fr"),'Normal uger'!$BC$51,0)</f>
        <v>0</v>
      </c>
      <c r="CU21" s="655">
        <f>IF(AND(C21="Normal uge 5",B21="ma"),'Normal uger'!$BI$51,0)</f>
        <v>0</v>
      </c>
      <c r="CV21" s="655">
        <f>IF(AND(C21="Normal uge 5",B21="ti"),'Normal uger'!$BK$51,0)</f>
        <v>0</v>
      </c>
      <c r="CW21" s="655">
        <f>IF(AND(C21="Normal uge 5",B21="on"),'Normal uger'!$BM$51,0)</f>
        <v>0</v>
      </c>
      <c r="CX21" s="655">
        <f>IF(AND(C21="Normal uge 5",B21="to"),'Normal uger'!$BO$51,0)</f>
        <v>0</v>
      </c>
      <c r="CY21" s="655">
        <f>IF(AND(C21="Normal uge 5",B21="fr"),'Normal uger'!$BQ$51,0)</f>
        <v>0</v>
      </c>
      <c r="CZ21" s="654">
        <f>IF(AND(C21="Normal uge 6",B21="ma"),'Normal uger'!$BW$51,0)</f>
        <v>0</v>
      </c>
      <c r="DA21" s="654">
        <f>IF(AND(C21="Normal uge 6",B21="ti"),'Normal uger'!$BY$51,0)</f>
        <v>0</v>
      </c>
      <c r="DB21" s="654">
        <f>IF(AND(C21="Normal uge 6",B21="on"),'Normal uger'!$CA$51,0)</f>
        <v>0</v>
      </c>
      <c r="DC21" s="654">
        <f>IF(AND(C21="Normal uge 6",B21="to"),'Normal uger'!$CC$51,0)</f>
        <v>0</v>
      </c>
      <c r="DD21" s="654">
        <f>IF(AND(C21="Normal uge 6",B21="fr"),'Normal uger'!$CE$51,0)</f>
        <v>0</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 t="shared" si="13"/>
        <v>8</v>
      </c>
      <c r="B22" s="72" t="str">
        <f t="shared" si="0"/>
        <v>on</v>
      </c>
      <c r="C22" s="73" t="s">
        <v>217</v>
      </c>
      <c r="D22" s="74" t="str">
        <f t="shared" si="1"/>
        <v/>
      </c>
      <c r="E22" s="858"/>
      <c r="F22" s="859"/>
      <c r="G22" s="860"/>
      <c r="H22" s="175"/>
      <c r="I22" s="221"/>
      <c r="J22" s="221"/>
      <c r="K22" s="191">
        <f t="shared" si="14"/>
        <v>0</v>
      </c>
      <c r="L22" s="191">
        <f t="shared" si="15"/>
        <v>0</v>
      </c>
      <c r="M22" s="238"/>
      <c r="N22" s="357"/>
      <c r="O22" s="408"/>
      <c r="P22" s="195"/>
      <c r="Q22" s="196"/>
      <c r="R22" s="196"/>
      <c r="S22" s="192"/>
      <c r="T22" s="255"/>
      <c r="U22" s="193"/>
      <c r="V22">
        <f t="shared" si="16"/>
        <v>0</v>
      </c>
      <c r="W22">
        <f t="shared" si="2"/>
        <v>0</v>
      </c>
      <c r="X22" s="358">
        <f t="shared" si="17"/>
        <v>0</v>
      </c>
      <c r="Y22" s="358">
        <f t="shared" si="18"/>
        <v>0</v>
      </c>
      <c r="Z22" s="358">
        <f t="shared" si="3"/>
        <v>0</v>
      </c>
      <c r="AA22" s="358">
        <f t="shared" si="19"/>
        <v>0</v>
      </c>
      <c r="AB22" s="358">
        <f t="shared" si="20"/>
        <v>0</v>
      </c>
      <c r="AC22" s="358">
        <f>IF(C22="Orlov",Stamoplysninger!$E$21*7.4,0)</f>
        <v>0</v>
      </c>
      <c r="AD22" s="358">
        <f>IF(C22="Rul 1",Rul!$E$46,0)</f>
        <v>0</v>
      </c>
      <c r="AE22" s="358">
        <f>IF(C22="Rul 2",Rul!$G$46,0)</f>
        <v>0</v>
      </c>
      <c r="AF22" s="358">
        <f>IF(C22="Rul 3",Rul!$I$46,0)</f>
        <v>0</v>
      </c>
      <c r="AG22" s="358">
        <f>IF(C22="Rul 4",Rul!$K$46,0)</f>
        <v>0</v>
      </c>
      <c r="AH22" s="358">
        <f>IF(C22="Rul 5",Rul!$M$46,0)</f>
        <v>0</v>
      </c>
      <c r="AI22" s="358">
        <f>IF(C22="Rul 6",Rul!$O$46,0)</f>
        <v>0</v>
      </c>
      <c r="AJ22" s="359">
        <f>IF(AND(C22="Normal uge 1",B22="ma"),'Normal uger'!$E$48,0)</f>
        <v>0</v>
      </c>
      <c r="AK22" s="359">
        <f>IF(AND(C22="Normal uge 1",B22="ti"),'Normal uger'!$G$48,0)</f>
        <v>0</v>
      </c>
      <c r="AL22" s="359">
        <f>IF(AND(C22="Normal uge 1",B22="on"),'Normal uger'!$I$48,0)</f>
        <v>0</v>
      </c>
      <c r="AM22" s="359">
        <f>IF(AND(C22="Normal uge 1",B22="to"),'Normal uger'!$K$48,0)</f>
        <v>0</v>
      </c>
      <c r="AN22" s="359">
        <f>IF(AND(C22="Normal uge 1",B22="fr"),'Normal uger'!$M$48,0)</f>
        <v>0</v>
      </c>
      <c r="AO22" s="360">
        <f>IF(AND(C22="Normal uge 2",B22="ma"),'Normal uger'!$S$48,0)</f>
        <v>0</v>
      </c>
      <c r="AP22" s="360">
        <f>IF(AND(C22="Normal uge 2",B22="ti"),'Normal uger'!$U$48,0)</f>
        <v>0</v>
      </c>
      <c r="AQ22" s="360">
        <f>IF(AND(C22="Normal uge 2",B22="on"),'Normal uger'!$W$48,0)</f>
        <v>0</v>
      </c>
      <c r="AR22" s="360">
        <f>IF(AND(C22="Normal uge 2",B22="to"),'Normal uger'!$Y$48,0)</f>
        <v>0</v>
      </c>
      <c r="AS22" s="360">
        <f>IF(AND(C22="Normal uge 2",B22="fr"),'Normal uger'!$AA$48,0)</f>
        <v>0</v>
      </c>
      <c r="AT22" s="361">
        <f>IF(AND(C22="Normal uge 3",B22="ma"),'Normal uger'!$AG$48,0)</f>
        <v>0</v>
      </c>
      <c r="AU22" s="361">
        <f>IF(AND(C22="Normal uge 3",B22="ti"),'Normal uger'!$AI$48,0)</f>
        <v>0</v>
      </c>
      <c r="AV22" s="361">
        <f>IF(AND(C22="Normal uge 3",B22="on"),'Normal uger'!$AK$48,0)</f>
        <v>0</v>
      </c>
      <c r="AW22" s="361">
        <f>IF(AND(C22="Normal uge 3",B22="to"),'Normal uger'!$AM$48,0)</f>
        <v>0</v>
      </c>
      <c r="AX22" s="361">
        <f>IF(AND(C22="Normal uge 3",B22="fr"),'Normal uger'!$AO$48,0)</f>
        <v>0</v>
      </c>
      <c r="AY22" s="362">
        <f>IF(AND(C22="Normal uge 4",B22="ma"),'Normal uger'!$AU$48,0)</f>
        <v>0</v>
      </c>
      <c r="AZ22" s="362">
        <f>IF(AND(C22="Normal uge 4",B22="ti"),'Normal uger'!$AW$48,0)</f>
        <v>0</v>
      </c>
      <c r="BA22" s="362">
        <f>IF(AND(C22="Normal uge 4",B22="on"),'Normal uger'!$AY$48,0)</f>
        <v>0</v>
      </c>
      <c r="BB22" s="362">
        <f>IF(AND(C22="Normal uge 4",B22="to"),'Normal uger'!$BA$48,0)</f>
        <v>0</v>
      </c>
      <c r="BC22" s="362">
        <f>IF(AND(C22="Normal uge 4",B22="fr"),'Normal uger'!$BC$48,0)</f>
        <v>0</v>
      </c>
      <c r="BD22" s="655">
        <f>IF(AND(C22="Normal uge 5",B22="ma"),'Normal uger'!$BI$48,0)</f>
        <v>0</v>
      </c>
      <c r="BE22" s="655">
        <f>IF(AND(C22="Normal uge 5",B22="ti"),'Normal uger'!$BK$48,0)</f>
        <v>0</v>
      </c>
      <c r="BF22" s="655">
        <f>IF(AND(C22="Normal uge 5",B22="on"),'Normal uger'!$BM$48,0)</f>
        <v>0</v>
      </c>
      <c r="BG22" s="655">
        <f>IF(AND(C22="Normal uge 5",B22="to"),'Normal uger'!$BO$48,0)</f>
        <v>0</v>
      </c>
      <c r="BH22" s="655">
        <f>IF(AND(C22="Normal uge 5",B22="fr"),'Normal uger'!$BQ$48,0)</f>
        <v>0</v>
      </c>
      <c r="BI22" s="654">
        <f>IF(AND(C22="Normal uge 6",B22="ma"),'Normal uger'!$BW$48,0)</f>
        <v>0</v>
      </c>
      <c r="BJ22" s="654">
        <f>IF(AND(C22="Normal uge 6",B22="ti"),'Normal uger'!$BY$48,0)</f>
        <v>0</v>
      </c>
      <c r="BK22" s="654">
        <f>IF(AND(C22="Normal uge 6",B22="on"),'Normal uger'!$CA$48,0)</f>
        <v>0</v>
      </c>
      <c r="BL22" s="654">
        <f>IF(AND(C22="Normal uge 6",B22="to"),'Normal uger'!$CC$48,0)</f>
        <v>0</v>
      </c>
      <c r="BM22" s="654">
        <f>IF(AND(C22="Normal uge 6",B22="fr"),'Normal uger'!$CE$48,0)</f>
        <v>0</v>
      </c>
      <c r="BN22" s="1">
        <f t="shared" si="21"/>
        <v>0</v>
      </c>
      <c r="BO22" s="125">
        <f t="shared" si="4"/>
        <v>0</v>
      </c>
      <c r="BP22" s="358">
        <f t="shared" si="5"/>
        <v>0</v>
      </c>
      <c r="BQ22" s="358">
        <f t="shared" si="22"/>
        <v>0</v>
      </c>
      <c r="BR22" s="358">
        <f t="shared" si="6"/>
        <v>0</v>
      </c>
      <c r="BS22" s="358">
        <f t="shared" si="7"/>
        <v>0</v>
      </c>
      <c r="BT22" s="358">
        <f t="shared" si="8"/>
        <v>0</v>
      </c>
      <c r="BU22" s="358">
        <f>IF(C22="Rul 1",Rul!$E$49,0)</f>
        <v>0</v>
      </c>
      <c r="BV22" s="358">
        <f>IF(C22="Rul 2",Rul!$G$49,0)</f>
        <v>0</v>
      </c>
      <c r="BW22" s="358">
        <f>IF(C22="Rul 3",Rul!$I$49,0)</f>
        <v>0</v>
      </c>
      <c r="BX22" s="358">
        <f>IF(C22="Rul 4",Rul!$K$49,0)</f>
        <v>0</v>
      </c>
      <c r="BY22" s="358">
        <f>IF(C22="Rul 5",Rul!$M$49,0)</f>
        <v>0</v>
      </c>
      <c r="BZ22" s="358">
        <f>IF(C22="Rul 6",Rul!$O$49,0)</f>
        <v>0</v>
      </c>
      <c r="CA22" s="359">
        <f>IF(AND(C22="Normal uge 1",B22="ma"),'Normal uger'!$E$51,0)</f>
        <v>0</v>
      </c>
      <c r="CB22" s="359">
        <f>IF(AND(C22="Normal uge 1",B22="ti"),'Normal uger'!$G$51,0)</f>
        <v>0</v>
      </c>
      <c r="CC22" s="359">
        <f>IF(AND(C22="Normal uge 1",B22="on"),'Normal uger'!$I$51,0)</f>
        <v>0</v>
      </c>
      <c r="CD22" s="359">
        <f>IF(AND(C22="Normal uge 1",B22="to"),'Normal uger'!$K$51,0)</f>
        <v>0</v>
      </c>
      <c r="CE22" s="359">
        <f>IF(AND(C22="Normal uge 1",B22="fr"),'Normal uger'!$M$51,0)</f>
        <v>0</v>
      </c>
      <c r="CF22" s="360">
        <f>IF(AND(C22="Normal uge 2",B22="ma"),'Normal uger'!$S$51,0)</f>
        <v>0</v>
      </c>
      <c r="CG22" s="360">
        <f>IF(AND(C22="Normal uge 2",B22="ti"),'Normal uger'!$U$51,0)</f>
        <v>0</v>
      </c>
      <c r="CH22" s="360">
        <f>IF(AND(C22="Normal uge 2",B22="on"),'Normal uger'!$W$51,0)</f>
        <v>0</v>
      </c>
      <c r="CI22" s="360">
        <f>IF(AND(C22="Normal uge 2",B22="to"),'Normal uger'!$Y$51,0)</f>
        <v>0</v>
      </c>
      <c r="CJ22" s="360">
        <f>IF(AND(C22="Normal uge 2",B22="fr"),'Normal uger'!$AA$51,0)</f>
        <v>0</v>
      </c>
      <c r="CK22" s="361">
        <f>IF(AND(C22="Normal uge 3",B22="ma"),'Normal uger'!$AG$51,0)</f>
        <v>0</v>
      </c>
      <c r="CL22" s="361">
        <f>IF(AND(C22="Normal uge 3",B22="ti"),'Normal uger'!$AI$51,0)</f>
        <v>0</v>
      </c>
      <c r="CM22" s="361">
        <f>IF(AND(C22="Normal uge 3",B22="on"),'Normal uger'!$AK$51,0)</f>
        <v>0</v>
      </c>
      <c r="CN22" s="361">
        <f>IF(AND(C22="Normal uge 3",B22="to"),'Normal uger'!$AM$51,0)</f>
        <v>0</v>
      </c>
      <c r="CO22" s="361">
        <f>IF(AND(C22="Normal uge 3",B22="fr"),'Normal uger'!$AO$51,0)</f>
        <v>0</v>
      </c>
      <c r="CP22" s="362">
        <f>IF(AND(C22="Normal uge 4",B22="ma"),'Normal uger'!$AU$51,0)</f>
        <v>0</v>
      </c>
      <c r="CQ22" s="362">
        <f>IF(AND(C22="Normal uge 4",B22="ti"),'Normal uger'!$AW$51,0)</f>
        <v>0</v>
      </c>
      <c r="CR22" s="362">
        <f>IF(AND(C22="Normal uge 4",B22="on"),'Normal uger'!$AY$51,0)</f>
        <v>0</v>
      </c>
      <c r="CS22" s="362">
        <f>IF(AND(C22="Normal uge 4",B22="to"),'Normal uger'!$BA$51,0)</f>
        <v>0</v>
      </c>
      <c r="CT22" s="362">
        <f>IF(AND(C22="Normal uge 4",B22="fr"),'Normal uger'!$BC$51,0)</f>
        <v>0</v>
      </c>
      <c r="CU22" s="655">
        <f>IF(AND(C22="Normal uge 5",B22="ma"),'Normal uger'!$BI$51,0)</f>
        <v>0</v>
      </c>
      <c r="CV22" s="655">
        <f>IF(AND(C22="Normal uge 5",B22="ti"),'Normal uger'!$BK$51,0)</f>
        <v>0</v>
      </c>
      <c r="CW22" s="655">
        <f>IF(AND(C22="Normal uge 5",B22="on"),'Normal uger'!$BM$51,0)</f>
        <v>0</v>
      </c>
      <c r="CX22" s="655">
        <f>IF(AND(C22="Normal uge 5",B22="to"),'Normal uger'!$BO$51,0)</f>
        <v>0</v>
      </c>
      <c r="CY22" s="655">
        <f>IF(AND(C22="Normal uge 5",B22="fr"),'Normal uger'!$BQ$51,0)</f>
        <v>0</v>
      </c>
      <c r="CZ22" s="654">
        <f>IF(AND(C22="Normal uge 6",B22="ma"),'Normal uger'!$BW$51,0)</f>
        <v>0</v>
      </c>
      <c r="DA22" s="654">
        <f>IF(AND(C22="Normal uge 6",B22="ti"),'Normal uger'!$BY$51,0)</f>
        <v>0</v>
      </c>
      <c r="DB22" s="654">
        <f>IF(AND(C22="Normal uge 6",B22="on"),'Normal uger'!$CA$51,0)</f>
        <v>0</v>
      </c>
      <c r="DC22" s="654">
        <f>IF(AND(C22="Normal uge 6",B22="to"),'Normal uger'!$CC$51,0)</f>
        <v>0</v>
      </c>
      <c r="DD22" s="654">
        <f>IF(AND(C22="Normal uge 6",B22="fr"),'Normal uger'!$CE$51,0)</f>
        <v>0</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9</v>
      </c>
      <c r="B23" s="72" t="str">
        <f t="shared" si="0"/>
        <v>to</v>
      </c>
      <c r="C23" s="73" t="s">
        <v>217</v>
      </c>
      <c r="D23" s="74" t="str">
        <f t="shared" si="1"/>
        <v/>
      </c>
      <c r="E23" s="858"/>
      <c r="F23" s="859"/>
      <c r="G23" s="860"/>
      <c r="H23" s="175"/>
      <c r="I23" s="221"/>
      <c r="J23" s="221"/>
      <c r="K23" s="191">
        <f t="shared" si="14"/>
        <v>0</v>
      </c>
      <c r="L23" s="191">
        <f t="shared" si="15"/>
        <v>0</v>
      </c>
      <c r="M23" s="238"/>
      <c r="N23" s="357"/>
      <c r="O23" s="408"/>
      <c r="P23" s="195"/>
      <c r="Q23" s="196"/>
      <c r="R23" s="196"/>
      <c r="S23" s="192"/>
      <c r="T23" s="255"/>
      <c r="U23" s="193"/>
      <c r="V23">
        <f t="shared" si="16"/>
        <v>0</v>
      </c>
      <c r="W23">
        <f t="shared" si="2"/>
        <v>0</v>
      </c>
      <c r="X23" s="358">
        <f t="shared" si="17"/>
        <v>0</v>
      </c>
      <c r="Y23" s="358">
        <f t="shared" si="18"/>
        <v>0</v>
      </c>
      <c r="Z23" s="358">
        <f t="shared" si="3"/>
        <v>0</v>
      </c>
      <c r="AA23" s="358">
        <f t="shared" si="19"/>
        <v>0</v>
      </c>
      <c r="AB23" s="358">
        <f t="shared" si="20"/>
        <v>0</v>
      </c>
      <c r="AC23" s="358">
        <f>IF(C23="Orlov",Stamoplysninger!$E$21*7.4,0)</f>
        <v>0</v>
      </c>
      <c r="AD23" s="358">
        <f>IF(C23="Rul 1",Rul!$E$46,0)</f>
        <v>0</v>
      </c>
      <c r="AE23" s="358">
        <f>IF(C23="Rul 2",Rul!$G$46,0)</f>
        <v>0</v>
      </c>
      <c r="AF23" s="358">
        <f>IF(C23="Rul 3",Rul!$I$46,0)</f>
        <v>0</v>
      </c>
      <c r="AG23" s="358">
        <f>IF(C23="Rul 4",Rul!$K$46,0)</f>
        <v>0</v>
      </c>
      <c r="AH23" s="358">
        <f>IF(C23="Rul 5",Rul!$M$46,0)</f>
        <v>0</v>
      </c>
      <c r="AI23" s="358">
        <f>IF(C23="Rul 6",Rul!$O$46,0)</f>
        <v>0</v>
      </c>
      <c r="AJ23" s="359">
        <f>IF(AND(C23="Normal uge 1",B23="ma"),'Normal uger'!$E$48,0)</f>
        <v>0</v>
      </c>
      <c r="AK23" s="359">
        <f>IF(AND(C23="Normal uge 1",B23="ti"),'Normal uger'!$G$48,0)</f>
        <v>0</v>
      </c>
      <c r="AL23" s="359">
        <f>IF(AND(C23="Normal uge 1",B23="on"),'Normal uger'!$I$48,0)</f>
        <v>0</v>
      </c>
      <c r="AM23" s="359">
        <f>IF(AND(C23="Normal uge 1",B23="to"),'Normal uger'!$K$48,0)</f>
        <v>0</v>
      </c>
      <c r="AN23" s="359">
        <f>IF(AND(C23="Normal uge 1",B23="fr"),'Normal uger'!$M$48,0)</f>
        <v>0</v>
      </c>
      <c r="AO23" s="360">
        <f>IF(AND(C23="Normal uge 2",B23="ma"),'Normal uger'!$S$48,0)</f>
        <v>0</v>
      </c>
      <c r="AP23" s="360">
        <f>IF(AND(C23="Normal uge 2",B23="ti"),'Normal uger'!$U$48,0)</f>
        <v>0</v>
      </c>
      <c r="AQ23" s="360">
        <f>IF(AND(C23="Normal uge 2",B23="on"),'Normal uger'!$W$48,0)</f>
        <v>0</v>
      </c>
      <c r="AR23" s="360">
        <f>IF(AND(C23="Normal uge 2",B23="to"),'Normal uger'!$Y$48,0)</f>
        <v>0</v>
      </c>
      <c r="AS23" s="360">
        <f>IF(AND(C23="Normal uge 2",B23="fr"),'Normal uger'!$AA$48,0)</f>
        <v>0</v>
      </c>
      <c r="AT23" s="361">
        <f>IF(AND(C23="Normal uge 3",B23="ma"),'Normal uger'!$AG$48,0)</f>
        <v>0</v>
      </c>
      <c r="AU23" s="361">
        <f>IF(AND(C23="Normal uge 3",B23="ti"),'Normal uger'!$AI$48,0)</f>
        <v>0</v>
      </c>
      <c r="AV23" s="361">
        <f>IF(AND(C23="Normal uge 3",B23="on"),'Normal uger'!$AK$48,0)</f>
        <v>0</v>
      </c>
      <c r="AW23" s="361">
        <f>IF(AND(C23="Normal uge 3",B23="to"),'Normal uger'!$AM$48,0)</f>
        <v>0</v>
      </c>
      <c r="AX23" s="361">
        <f>IF(AND(C23="Normal uge 3",B23="fr"),'Normal uger'!$AO$48,0)</f>
        <v>0</v>
      </c>
      <c r="AY23" s="362">
        <f>IF(AND(C23="Normal uge 4",B23="ma"),'Normal uger'!$AU$48,0)</f>
        <v>0</v>
      </c>
      <c r="AZ23" s="362">
        <f>IF(AND(C23="Normal uge 4",B23="ti"),'Normal uger'!$AW$48,0)</f>
        <v>0</v>
      </c>
      <c r="BA23" s="362">
        <f>IF(AND(C23="Normal uge 4",B23="on"),'Normal uger'!$AY$48,0)</f>
        <v>0</v>
      </c>
      <c r="BB23" s="362">
        <f>IF(AND(C23="Normal uge 4",B23="to"),'Normal uger'!$BA$48,0)</f>
        <v>0</v>
      </c>
      <c r="BC23" s="362">
        <f>IF(AND(C23="Normal uge 4",B23="fr"),'Normal uger'!$BC$48,0)</f>
        <v>0</v>
      </c>
      <c r="BD23" s="655">
        <f>IF(AND(C23="Normal uge 5",B23="ma"),'Normal uger'!$BI$48,0)</f>
        <v>0</v>
      </c>
      <c r="BE23" s="655">
        <f>IF(AND(C23="Normal uge 5",B23="ti"),'Normal uger'!$BK$48,0)</f>
        <v>0</v>
      </c>
      <c r="BF23" s="655">
        <f>IF(AND(C23="Normal uge 5",B23="on"),'Normal uger'!$BM$48,0)</f>
        <v>0</v>
      </c>
      <c r="BG23" s="655">
        <f>IF(AND(C23="Normal uge 5",B23="to"),'Normal uger'!$BO$48,0)</f>
        <v>0</v>
      </c>
      <c r="BH23" s="655">
        <f>IF(AND(C23="Normal uge 5",B23="fr"),'Normal uger'!$BQ$48,0)</f>
        <v>0</v>
      </c>
      <c r="BI23" s="654">
        <f>IF(AND(C23="Normal uge 6",B23="ma"),'Normal uger'!$BW$48,0)</f>
        <v>0</v>
      </c>
      <c r="BJ23" s="654">
        <f>IF(AND(C23="Normal uge 6",B23="ti"),'Normal uger'!$BY$48,0)</f>
        <v>0</v>
      </c>
      <c r="BK23" s="654">
        <f>IF(AND(C23="Normal uge 6",B23="on"),'Normal uger'!$CA$48,0)</f>
        <v>0</v>
      </c>
      <c r="BL23" s="654">
        <f>IF(AND(C23="Normal uge 6",B23="to"),'Normal uger'!$CC$48,0)</f>
        <v>0</v>
      </c>
      <c r="BM23" s="654">
        <f>IF(AND(C23="Normal uge 6",B23="fr"),'Normal uger'!$CE$48,0)</f>
        <v>0</v>
      </c>
      <c r="BN23" s="1">
        <f t="shared" si="21"/>
        <v>0</v>
      </c>
      <c r="BO23" s="125">
        <f t="shared" si="4"/>
        <v>0</v>
      </c>
      <c r="BP23" s="358">
        <f t="shared" si="5"/>
        <v>0</v>
      </c>
      <c r="BQ23" s="358">
        <f t="shared" si="22"/>
        <v>0</v>
      </c>
      <c r="BR23" s="358">
        <f t="shared" si="6"/>
        <v>0</v>
      </c>
      <c r="BS23" s="358">
        <f t="shared" si="7"/>
        <v>0</v>
      </c>
      <c r="BT23" s="358">
        <f t="shared" si="8"/>
        <v>0</v>
      </c>
      <c r="BU23" s="358">
        <f>IF(C23="Rul 1",Rul!$E$49,0)</f>
        <v>0</v>
      </c>
      <c r="BV23" s="358">
        <f>IF(C23="Rul 2",Rul!$G$49,0)</f>
        <v>0</v>
      </c>
      <c r="BW23" s="358">
        <f>IF(C23="Rul 3",Rul!$I$49,0)</f>
        <v>0</v>
      </c>
      <c r="BX23" s="358">
        <f>IF(C23="Rul 4",Rul!$K$49,0)</f>
        <v>0</v>
      </c>
      <c r="BY23" s="358">
        <f>IF(C23="Rul 5",Rul!$M$49,0)</f>
        <v>0</v>
      </c>
      <c r="BZ23" s="358">
        <f>IF(C23="Rul 6",Rul!$O$49,0)</f>
        <v>0</v>
      </c>
      <c r="CA23" s="359">
        <f>IF(AND(C23="Normal uge 1",B23="ma"),'Normal uger'!$E$51,0)</f>
        <v>0</v>
      </c>
      <c r="CB23" s="359">
        <f>IF(AND(C23="Normal uge 1",B23="ti"),'Normal uger'!$G$51,0)</f>
        <v>0</v>
      </c>
      <c r="CC23" s="359">
        <f>IF(AND(C23="Normal uge 1",B23="on"),'Normal uger'!$I$51,0)</f>
        <v>0</v>
      </c>
      <c r="CD23" s="359">
        <f>IF(AND(C23="Normal uge 1",B23="to"),'Normal uger'!$K$51,0)</f>
        <v>0</v>
      </c>
      <c r="CE23" s="359">
        <f>IF(AND(C23="Normal uge 1",B23="fr"),'Normal uger'!$M$51,0)</f>
        <v>0</v>
      </c>
      <c r="CF23" s="360">
        <f>IF(AND(C23="Normal uge 2",B23="ma"),'Normal uger'!$S$51,0)</f>
        <v>0</v>
      </c>
      <c r="CG23" s="360">
        <f>IF(AND(C23="Normal uge 2",B23="ti"),'Normal uger'!$U$51,0)</f>
        <v>0</v>
      </c>
      <c r="CH23" s="360">
        <f>IF(AND(C23="Normal uge 2",B23="on"),'Normal uger'!$W$51,0)</f>
        <v>0</v>
      </c>
      <c r="CI23" s="360">
        <f>IF(AND(C23="Normal uge 2",B23="to"),'Normal uger'!$Y$51,0)</f>
        <v>0</v>
      </c>
      <c r="CJ23" s="360">
        <f>IF(AND(C23="Normal uge 2",B23="fr"),'Normal uger'!$AA$51,0)</f>
        <v>0</v>
      </c>
      <c r="CK23" s="361">
        <f>IF(AND(C23="Normal uge 3",B23="ma"),'Normal uger'!$AG$51,0)</f>
        <v>0</v>
      </c>
      <c r="CL23" s="361">
        <f>IF(AND(C23="Normal uge 3",B23="ti"),'Normal uger'!$AI$51,0)</f>
        <v>0</v>
      </c>
      <c r="CM23" s="361">
        <f>IF(AND(C23="Normal uge 3",B23="on"),'Normal uger'!$AK$51,0)</f>
        <v>0</v>
      </c>
      <c r="CN23" s="361">
        <f>IF(AND(C23="Normal uge 3",B23="to"),'Normal uger'!$AM$51,0)</f>
        <v>0</v>
      </c>
      <c r="CO23" s="361">
        <f>IF(AND(C23="Normal uge 3",B23="fr"),'Normal uger'!$AO$51,0)</f>
        <v>0</v>
      </c>
      <c r="CP23" s="362">
        <f>IF(AND(C23="Normal uge 4",B23="ma"),'Normal uger'!$AU$51,0)</f>
        <v>0</v>
      </c>
      <c r="CQ23" s="362">
        <f>IF(AND(C23="Normal uge 4",B23="ti"),'Normal uger'!$AW$51,0)</f>
        <v>0</v>
      </c>
      <c r="CR23" s="362">
        <f>IF(AND(C23="Normal uge 4",B23="on"),'Normal uger'!$AY$51,0)</f>
        <v>0</v>
      </c>
      <c r="CS23" s="362">
        <f>IF(AND(C23="Normal uge 4",B23="to"),'Normal uger'!$BA$51,0)</f>
        <v>0</v>
      </c>
      <c r="CT23" s="362">
        <f>IF(AND(C23="Normal uge 4",B23="fr"),'Normal uger'!$BC$51,0)</f>
        <v>0</v>
      </c>
      <c r="CU23" s="655">
        <f>IF(AND(C23="Normal uge 5",B23="ma"),'Normal uger'!$BI$51,0)</f>
        <v>0</v>
      </c>
      <c r="CV23" s="655">
        <f>IF(AND(C23="Normal uge 5",B23="ti"),'Normal uger'!$BK$51,0)</f>
        <v>0</v>
      </c>
      <c r="CW23" s="655">
        <f>IF(AND(C23="Normal uge 5",B23="on"),'Normal uger'!$BM$51,0)</f>
        <v>0</v>
      </c>
      <c r="CX23" s="655">
        <f>IF(AND(C23="Normal uge 5",B23="to"),'Normal uger'!$BO$51,0)</f>
        <v>0</v>
      </c>
      <c r="CY23" s="655">
        <f>IF(AND(C23="Normal uge 5",B23="fr"),'Normal uger'!$BQ$51,0)</f>
        <v>0</v>
      </c>
      <c r="CZ23" s="654">
        <f>IF(AND(C23="Normal uge 6",B23="ma"),'Normal uger'!$BW$51,0)</f>
        <v>0</v>
      </c>
      <c r="DA23" s="654">
        <f>IF(AND(C23="Normal uge 6",B23="ti"),'Normal uger'!$BY$51,0)</f>
        <v>0</v>
      </c>
      <c r="DB23" s="654">
        <f>IF(AND(C23="Normal uge 6",B23="on"),'Normal uger'!$CA$51,0)</f>
        <v>0</v>
      </c>
      <c r="DC23" s="654">
        <f>IF(AND(C23="Normal uge 6",B23="to"),'Normal uger'!$CC$51,0)</f>
        <v>0</v>
      </c>
      <c r="DD23" s="654">
        <f>IF(AND(C23="Normal uge 6",B23="fr"),'Normal uger'!$CE$51,0)</f>
        <v>0</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10</v>
      </c>
      <c r="B24" s="72" t="str">
        <f t="shared" si="0"/>
        <v>fr</v>
      </c>
      <c r="C24" s="73" t="s">
        <v>217</v>
      </c>
      <c r="D24" s="74" t="str">
        <f t="shared" si="1"/>
        <v/>
      </c>
      <c r="E24" s="858"/>
      <c r="F24" s="859"/>
      <c r="G24" s="860"/>
      <c r="H24" s="175"/>
      <c r="I24" s="221"/>
      <c r="J24" s="221"/>
      <c r="K24" s="191">
        <f t="shared" si="14"/>
        <v>0</v>
      </c>
      <c r="L24" s="191">
        <f t="shared" si="15"/>
        <v>0</v>
      </c>
      <c r="M24" s="238"/>
      <c r="N24" s="357"/>
      <c r="O24" s="408"/>
      <c r="P24" s="195"/>
      <c r="Q24" s="196"/>
      <c r="R24" s="196"/>
      <c r="S24" s="192"/>
      <c r="T24" s="255"/>
      <c r="U24" s="193"/>
      <c r="V24">
        <f t="shared" si="16"/>
        <v>0</v>
      </c>
      <c r="W24">
        <f t="shared" si="2"/>
        <v>0</v>
      </c>
      <c r="X24" s="358">
        <f t="shared" si="17"/>
        <v>0</v>
      </c>
      <c r="Y24" s="358">
        <f t="shared" si="18"/>
        <v>0</v>
      </c>
      <c r="Z24" s="358">
        <f t="shared" si="3"/>
        <v>0</v>
      </c>
      <c r="AA24" s="358">
        <f t="shared" si="19"/>
        <v>0</v>
      </c>
      <c r="AB24" s="358">
        <f t="shared" si="20"/>
        <v>0</v>
      </c>
      <c r="AC24" s="358">
        <f>IF(C24="Orlov",Stamoplysninger!$E$21*7.4,0)</f>
        <v>0</v>
      </c>
      <c r="AD24" s="358">
        <f>IF(C24="Rul 1",Rul!$E$46,0)</f>
        <v>0</v>
      </c>
      <c r="AE24" s="358">
        <f>IF(C24="Rul 2",Rul!$G$46,0)</f>
        <v>0</v>
      </c>
      <c r="AF24" s="358">
        <f>IF(C24="Rul 3",Rul!$I$46,0)</f>
        <v>0</v>
      </c>
      <c r="AG24" s="358">
        <f>IF(C24="Rul 4",Rul!$K$46,0)</f>
        <v>0</v>
      </c>
      <c r="AH24" s="358">
        <f>IF(C24="Rul 5",Rul!$M$46,0)</f>
        <v>0</v>
      </c>
      <c r="AI24" s="358">
        <f>IF(C24="Rul 6",Rul!$O$46,0)</f>
        <v>0</v>
      </c>
      <c r="AJ24" s="359">
        <f>IF(AND(C24="Normal uge 1",B24="ma"),'Normal uger'!$E$48,0)</f>
        <v>0</v>
      </c>
      <c r="AK24" s="359">
        <f>IF(AND(C24="Normal uge 1",B24="ti"),'Normal uger'!$G$48,0)</f>
        <v>0</v>
      </c>
      <c r="AL24" s="359">
        <f>IF(AND(C24="Normal uge 1",B24="on"),'Normal uger'!$I$48,0)</f>
        <v>0</v>
      </c>
      <c r="AM24" s="359">
        <f>IF(AND(C24="Normal uge 1",B24="to"),'Normal uger'!$K$48,0)</f>
        <v>0</v>
      </c>
      <c r="AN24" s="359">
        <f>IF(AND(C24="Normal uge 1",B24="fr"),'Normal uger'!$M$48,0)</f>
        <v>0</v>
      </c>
      <c r="AO24" s="360">
        <f>IF(AND(C24="Normal uge 2",B24="ma"),'Normal uger'!$S$48,0)</f>
        <v>0</v>
      </c>
      <c r="AP24" s="360">
        <f>IF(AND(C24="Normal uge 2",B24="ti"),'Normal uger'!$U$48,0)</f>
        <v>0</v>
      </c>
      <c r="AQ24" s="360">
        <f>IF(AND(C24="Normal uge 2",B24="on"),'Normal uger'!$W$48,0)</f>
        <v>0</v>
      </c>
      <c r="AR24" s="360">
        <f>IF(AND(C24="Normal uge 2",B24="to"),'Normal uger'!$Y$48,0)</f>
        <v>0</v>
      </c>
      <c r="AS24" s="360">
        <f>IF(AND(C24="Normal uge 2",B24="fr"),'Normal uger'!$AA$48,0)</f>
        <v>0</v>
      </c>
      <c r="AT24" s="361">
        <f>IF(AND(C24="Normal uge 3",B24="ma"),'Normal uger'!$AG$48,0)</f>
        <v>0</v>
      </c>
      <c r="AU24" s="361">
        <f>IF(AND(C24="Normal uge 3",B24="ti"),'Normal uger'!$AI$48,0)</f>
        <v>0</v>
      </c>
      <c r="AV24" s="361">
        <f>IF(AND(C24="Normal uge 3",B24="on"),'Normal uger'!$AK$48,0)</f>
        <v>0</v>
      </c>
      <c r="AW24" s="361">
        <f>IF(AND(C24="Normal uge 3",B24="to"),'Normal uger'!$AM$48,0)</f>
        <v>0</v>
      </c>
      <c r="AX24" s="361">
        <f>IF(AND(C24="Normal uge 3",B24="fr"),'Normal uger'!$AO$48,0)</f>
        <v>0</v>
      </c>
      <c r="AY24" s="362">
        <f>IF(AND(C24="Normal uge 4",B24="ma"),'Normal uger'!$AU$48,0)</f>
        <v>0</v>
      </c>
      <c r="AZ24" s="362">
        <f>IF(AND(C24="Normal uge 4",B24="ti"),'Normal uger'!$AW$48,0)</f>
        <v>0</v>
      </c>
      <c r="BA24" s="362">
        <f>IF(AND(C24="Normal uge 4",B24="on"),'Normal uger'!$AY$48,0)</f>
        <v>0</v>
      </c>
      <c r="BB24" s="362">
        <f>IF(AND(C24="Normal uge 4",B24="to"),'Normal uger'!$BA$48,0)</f>
        <v>0</v>
      </c>
      <c r="BC24" s="362">
        <f>IF(AND(C24="Normal uge 4",B24="fr"),'Normal uger'!$BC$48,0)</f>
        <v>0</v>
      </c>
      <c r="BD24" s="655">
        <f>IF(AND(C24="Normal uge 5",B24="ma"),'Normal uger'!$BI$48,0)</f>
        <v>0</v>
      </c>
      <c r="BE24" s="655">
        <f>IF(AND(C24="Normal uge 5",B24="ti"),'Normal uger'!$BK$48,0)</f>
        <v>0</v>
      </c>
      <c r="BF24" s="655">
        <f>IF(AND(C24="Normal uge 5",B24="on"),'Normal uger'!$BM$48,0)</f>
        <v>0</v>
      </c>
      <c r="BG24" s="655">
        <f>IF(AND(C24="Normal uge 5",B24="to"),'Normal uger'!$BO$48,0)</f>
        <v>0</v>
      </c>
      <c r="BH24" s="655">
        <f>IF(AND(C24="Normal uge 5",B24="fr"),'Normal uger'!$BQ$48,0)</f>
        <v>0</v>
      </c>
      <c r="BI24" s="654">
        <f>IF(AND(C24="Normal uge 6",B24="ma"),'Normal uger'!$BW$48,0)</f>
        <v>0</v>
      </c>
      <c r="BJ24" s="654">
        <f>IF(AND(C24="Normal uge 6",B24="ti"),'Normal uger'!$BY$48,0)</f>
        <v>0</v>
      </c>
      <c r="BK24" s="654">
        <f>IF(AND(C24="Normal uge 6",B24="on"),'Normal uger'!$CA$48,0)</f>
        <v>0</v>
      </c>
      <c r="BL24" s="654">
        <f>IF(AND(C24="Normal uge 6",B24="to"),'Normal uger'!$CC$48,0)</f>
        <v>0</v>
      </c>
      <c r="BM24" s="654">
        <f>IF(AND(C24="Normal uge 6",B24="fr"),'Normal uger'!$CE$48,0)</f>
        <v>0</v>
      </c>
      <c r="BN24" s="1">
        <f t="shared" si="21"/>
        <v>0</v>
      </c>
      <c r="BO24" s="125">
        <f t="shared" si="4"/>
        <v>0</v>
      </c>
      <c r="BP24" s="358">
        <f t="shared" si="5"/>
        <v>0</v>
      </c>
      <c r="BQ24" s="358">
        <f t="shared" si="22"/>
        <v>0</v>
      </c>
      <c r="BR24" s="358">
        <f t="shared" si="6"/>
        <v>0</v>
      </c>
      <c r="BS24" s="358">
        <f t="shared" si="7"/>
        <v>0</v>
      </c>
      <c r="BT24" s="358">
        <f t="shared" si="8"/>
        <v>0</v>
      </c>
      <c r="BU24" s="358">
        <f>IF(C24="Rul 1",Rul!$E$49,0)</f>
        <v>0</v>
      </c>
      <c r="BV24" s="358">
        <f>IF(C24="Rul 2",Rul!$G$49,0)</f>
        <v>0</v>
      </c>
      <c r="BW24" s="358">
        <f>IF(C24="Rul 3",Rul!$I$49,0)</f>
        <v>0</v>
      </c>
      <c r="BX24" s="358">
        <f>IF(C24="Rul 4",Rul!$K$49,0)</f>
        <v>0</v>
      </c>
      <c r="BY24" s="358">
        <f>IF(C24="Rul 5",Rul!$M$49,0)</f>
        <v>0</v>
      </c>
      <c r="BZ24" s="358">
        <f>IF(C24="Rul 6",Rul!$O$49,0)</f>
        <v>0</v>
      </c>
      <c r="CA24" s="359">
        <f>IF(AND(C24="Normal uge 1",B24="ma"),'Normal uger'!$E$51,0)</f>
        <v>0</v>
      </c>
      <c r="CB24" s="359">
        <f>IF(AND(C24="Normal uge 1",B24="ti"),'Normal uger'!$G$51,0)</f>
        <v>0</v>
      </c>
      <c r="CC24" s="359">
        <f>IF(AND(C24="Normal uge 1",B24="on"),'Normal uger'!$I$51,0)</f>
        <v>0</v>
      </c>
      <c r="CD24" s="359">
        <f>IF(AND(C24="Normal uge 1",B24="to"),'Normal uger'!$K$51,0)</f>
        <v>0</v>
      </c>
      <c r="CE24" s="359">
        <f>IF(AND(C24="Normal uge 1",B24="fr"),'Normal uger'!$M$51,0)</f>
        <v>0</v>
      </c>
      <c r="CF24" s="360">
        <f>IF(AND(C24="Normal uge 2",B24="ma"),'Normal uger'!$S$51,0)</f>
        <v>0</v>
      </c>
      <c r="CG24" s="360">
        <f>IF(AND(C24="Normal uge 2",B24="ti"),'Normal uger'!$U$51,0)</f>
        <v>0</v>
      </c>
      <c r="CH24" s="360">
        <f>IF(AND(C24="Normal uge 2",B24="on"),'Normal uger'!$W$51,0)</f>
        <v>0</v>
      </c>
      <c r="CI24" s="360">
        <f>IF(AND(C24="Normal uge 2",B24="to"),'Normal uger'!$Y$51,0)</f>
        <v>0</v>
      </c>
      <c r="CJ24" s="360">
        <f>IF(AND(C24="Normal uge 2",B24="fr"),'Normal uger'!$AA$51,0)</f>
        <v>0</v>
      </c>
      <c r="CK24" s="361">
        <f>IF(AND(C24="Normal uge 3",B24="ma"),'Normal uger'!$AG$51,0)</f>
        <v>0</v>
      </c>
      <c r="CL24" s="361">
        <f>IF(AND(C24="Normal uge 3",B24="ti"),'Normal uger'!$AI$51,0)</f>
        <v>0</v>
      </c>
      <c r="CM24" s="361">
        <f>IF(AND(C24="Normal uge 3",B24="on"),'Normal uger'!$AK$51,0)</f>
        <v>0</v>
      </c>
      <c r="CN24" s="361">
        <f>IF(AND(C24="Normal uge 3",B24="to"),'Normal uger'!$AM$51,0)</f>
        <v>0</v>
      </c>
      <c r="CO24" s="361">
        <f>IF(AND(C24="Normal uge 3",B24="fr"),'Normal uger'!$AO$51,0)</f>
        <v>0</v>
      </c>
      <c r="CP24" s="362">
        <f>IF(AND(C24="Normal uge 4",B24="ma"),'Normal uger'!$AU$51,0)</f>
        <v>0</v>
      </c>
      <c r="CQ24" s="362">
        <f>IF(AND(C24="Normal uge 4",B24="ti"),'Normal uger'!$AW$51,0)</f>
        <v>0</v>
      </c>
      <c r="CR24" s="362">
        <f>IF(AND(C24="Normal uge 4",B24="on"),'Normal uger'!$AY$51,0)</f>
        <v>0</v>
      </c>
      <c r="CS24" s="362">
        <f>IF(AND(C24="Normal uge 4",B24="to"),'Normal uger'!$BA$51,0)</f>
        <v>0</v>
      </c>
      <c r="CT24" s="362">
        <f>IF(AND(C24="Normal uge 4",B24="fr"),'Normal uger'!$BC$51,0)</f>
        <v>0</v>
      </c>
      <c r="CU24" s="655">
        <f>IF(AND(C24="Normal uge 5",B24="ma"),'Normal uger'!$BI$51,0)</f>
        <v>0</v>
      </c>
      <c r="CV24" s="655">
        <f>IF(AND(C24="Normal uge 5",B24="ti"),'Normal uger'!$BK$51,0)</f>
        <v>0</v>
      </c>
      <c r="CW24" s="655">
        <f>IF(AND(C24="Normal uge 5",B24="on"),'Normal uger'!$BM$51,0)</f>
        <v>0</v>
      </c>
      <c r="CX24" s="655">
        <f>IF(AND(C24="Normal uge 5",B24="to"),'Normal uger'!$BO$51,0)</f>
        <v>0</v>
      </c>
      <c r="CY24" s="655">
        <f>IF(AND(C24="Normal uge 5",B24="fr"),'Normal uger'!$BQ$51,0)</f>
        <v>0</v>
      </c>
      <c r="CZ24" s="654">
        <f>IF(AND(C24="Normal uge 6",B24="ma"),'Normal uger'!$BW$51,0)</f>
        <v>0</v>
      </c>
      <c r="DA24" s="654">
        <f>IF(AND(C24="Normal uge 6",B24="ti"),'Normal uger'!$BY$51,0)</f>
        <v>0</v>
      </c>
      <c r="DB24" s="654">
        <f>IF(AND(C24="Normal uge 6",B24="on"),'Normal uger'!$CA$51,0)</f>
        <v>0</v>
      </c>
      <c r="DC24" s="654">
        <f>IF(AND(C24="Normal uge 6",B24="to"),'Normal uger'!$CC$51,0)</f>
        <v>0</v>
      </c>
      <c r="DD24" s="654">
        <f>IF(AND(C24="Normal uge 6",B24="fr"),'Normal uger'!$CE$51,0)</f>
        <v>0</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 t="shared" si="13"/>
        <v>11</v>
      </c>
      <c r="B25" s="72" t="str">
        <f t="shared" si="0"/>
        <v>lø</v>
      </c>
      <c r="C25" s="73" t="s">
        <v>77</v>
      </c>
      <c r="D25" s="74" t="str">
        <f t="shared" si="1"/>
        <v/>
      </c>
      <c r="E25" s="858"/>
      <c r="F25" s="859"/>
      <c r="G25" s="860"/>
      <c r="H25" s="175"/>
      <c r="I25" s="221"/>
      <c r="J25" s="221"/>
      <c r="K25" s="191">
        <f t="shared" si="14"/>
        <v>0</v>
      </c>
      <c r="L25" s="191">
        <f t="shared" si="15"/>
        <v>0</v>
      </c>
      <c r="M25" s="238"/>
      <c r="N25" s="357"/>
      <c r="O25" s="408"/>
      <c r="P25" s="195"/>
      <c r="Q25" s="196"/>
      <c r="R25" s="196"/>
      <c r="S25" s="192"/>
      <c r="T25" s="255"/>
      <c r="U25" s="193"/>
      <c r="V25">
        <f t="shared" si="16"/>
        <v>0</v>
      </c>
      <c r="W25">
        <f t="shared" si="2"/>
        <v>0</v>
      </c>
      <c r="X25" s="358">
        <f t="shared" si="17"/>
        <v>0</v>
      </c>
      <c r="Y25" s="358">
        <f t="shared" si="18"/>
        <v>0</v>
      </c>
      <c r="Z25" s="358">
        <f t="shared" si="3"/>
        <v>0</v>
      </c>
      <c r="AA25" s="358">
        <f t="shared" si="19"/>
        <v>0</v>
      </c>
      <c r="AB25" s="358">
        <f t="shared" si="20"/>
        <v>0</v>
      </c>
      <c r="AC25" s="358">
        <f>IF(C25="Orlov",Stamoplysninger!$E$21*7.4,0)</f>
        <v>0</v>
      </c>
      <c r="AD25" s="358">
        <f>IF(C25="Rul 1",Rul!$E$46,0)</f>
        <v>0</v>
      </c>
      <c r="AE25" s="358">
        <f>IF(C25="Rul 2",Rul!$G$46,0)</f>
        <v>0</v>
      </c>
      <c r="AF25" s="358">
        <f>IF(C25="Rul 3",Rul!$I$46,0)</f>
        <v>0</v>
      </c>
      <c r="AG25" s="358">
        <f>IF(C25="Rul 4",Rul!$K$46,0)</f>
        <v>0</v>
      </c>
      <c r="AH25" s="358">
        <f>IF(C25="Rul 5",Rul!$M$46,0)</f>
        <v>0</v>
      </c>
      <c r="AI25" s="358">
        <f>IF(C25="Rul 6",Rul!$O$46,0)</f>
        <v>0</v>
      </c>
      <c r="AJ25" s="359">
        <f>IF(AND(C25="Normal uge 1",B25="ma"),'Normal uger'!$E$48,0)</f>
        <v>0</v>
      </c>
      <c r="AK25" s="359">
        <f>IF(AND(C25="Normal uge 1",B25="ti"),'Normal uger'!$G$48,0)</f>
        <v>0</v>
      </c>
      <c r="AL25" s="359">
        <f>IF(AND(C25="Normal uge 1",B25="on"),'Normal uger'!$I$48,0)</f>
        <v>0</v>
      </c>
      <c r="AM25" s="359">
        <f>IF(AND(C25="Normal uge 1",B25="to"),'Normal uger'!$K$48,0)</f>
        <v>0</v>
      </c>
      <c r="AN25" s="359">
        <f>IF(AND(C25="Normal uge 1",B25="fr"),'Normal uger'!$M$48,0)</f>
        <v>0</v>
      </c>
      <c r="AO25" s="360">
        <f>IF(AND(C25="Normal uge 2",B25="ma"),'Normal uger'!$S$48,0)</f>
        <v>0</v>
      </c>
      <c r="AP25" s="360">
        <f>IF(AND(C25="Normal uge 2",B25="ti"),'Normal uger'!$U$48,0)</f>
        <v>0</v>
      </c>
      <c r="AQ25" s="360">
        <f>IF(AND(C25="Normal uge 2",B25="on"),'Normal uger'!$W$48,0)</f>
        <v>0</v>
      </c>
      <c r="AR25" s="360">
        <f>IF(AND(C25="Normal uge 2",B25="to"),'Normal uger'!$Y$48,0)</f>
        <v>0</v>
      </c>
      <c r="AS25" s="360">
        <f>IF(AND(C25="Normal uge 2",B25="fr"),'Normal uger'!$AA$48,0)</f>
        <v>0</v>
      </c>
      <c r="AT25" s="361">
        <f>IF(AND(C25="Normal uge 3",B25="ma"),'Normal uger'!$AG$48,0)</f>
        <v>0</v>
      </c>
      <c r="AU25" s="361">
        <f>IF(AND(C25="Normal uge 3",B25="ti"),'Normal uger'!$AI$48,0)</f>
        <v>0</v>
      </c>
      <c r="AV25" s="361">
        <f>IF(AND(C25="Normal uge 3",B25="on"),'Normal uger'!$AK$48,0)</f>
        <v>0</v>
      </c>
      <c r="AW25" s="361">
        <f>IF(AND(C25="Normal uge 3",B25="to"),'Normal uger'!$AM$48,0)</f>
        <v>0</v>
      </c>
      <c r="AX25" s="361">
        <f>IF(AND(C25="Normal uge 3",B25="fr"),'Normal uger'!$AO$48,0)</f>
        <v>0</v>
      </c>
      <c r="AY25" s="362">
        <f>IF(AND(C25="Normal uge 4",B25="ma"),'Normal uger'!$AU$48,0)</f>
        <v>0</v>
      </c>
      <c r="AZ25" s="362">
        <f>IF(AND(C25="Normal uge 4",B25="ti"),'Normal uger'!$AW$48,0)</f>
        <v>0</v>
      </c>
      <c r="BA25" s="362">
        <f>IF(AND(C25="Normal uge 4",B25="on"),'Normal uger'!$AY$48,0)</f>
        <v>0</v>
      </c>
      <c r="BB25" s="362">
        <f>IF(AND(C25="Normal uge 4",B25="to"),'Normal uger'!$BA$48,0)</f>
        <v>0</v>
      </c>
      <c r="BC25" s="362">
        <f>IF(AND(C25="Normal uge 4",B25="fr"),'Normal uger'!$BC$48,0)</f>
        <v>0</v>
      </c>
      <c r="BD25" s="655">
        <f>IF(AND(C25="Normal uge 5",B25="ma"),'Normal uger'!$BI$48,0)</f>
        <v>0</v>
      </c>
      <c r="BE25" s="655">
        <f>IF(AND(C25="Normal uge 5",B25="ti"),'Normal uger'!$BK$48,0)</f>
        <v>0</v>
      </c>
      <c r="BF25" s="655">
        <f>IF(AND(C25="Normal uge 5",B25="on"),'Normal uger'!$BM$48,0)</f>
        <v>0</v>
      </c>
      <c r="BG25" s="655">
        <f>IF(AND(C25="Normal uge 5",B25="to"),'Normal uger'!$BO$48,0)</f>
        <v>0</v>
      </c>
      <c r="BH25" s="655">
        <f>IF(AND(C25="Normal uge 5",B25="fr"),'Normal uger'!$BQ$48,0)</f>
        <v>0</v>
      </c>
      <c r="BI25" s="654">
        <f>IF(AND(C25="Normal uge 6",B25="ma"),'Normal uger'!$BW$48,0)</f>
        <v>0</v>
      </c>
      <c r="BJ25" s="654">
        <f>IF(AND(C25="Normal uge 6",B25="ti"),'Normal uger'!$BY$48,0)</f>
        <v>0</v>
      </c>
      <c r="BK25" s="654">
        <f>IF(AND(C25="Normal uge 6",B25="on"),'Normal uger'!$CA$48,0)</f>
        <v>0</v>
      </c>
      <c r="BL25" s="654">
        <f>IF(AND(C25="Normal uge 6",B25="to"),'Normal uger'!$CC$48,0)</f>
        <v>0</v>
      </c>
      <c r="BM25" s="654">
        <f>IF(AND(C25="Normal uge 6",B25="fr"),'Normal uger'!$CE$48,0)</f>
        <v>0</v>
      </c>
      <c r="BN25" s="1">
        <f t="shared" si="21"/>
        <v>0</v>
      </c>
      <c r="BO25" s="125">
        <f t="shared" si="4"/>
        <v>0</v>
      </c>
      <c r="BP25" s="358">
        <f t="shared" si="5"/>
        <v>0</v>
      </c>
      <c r="BQ25" s="358">
        <f t="shared" si="22"/>
        <v>0</v>
      </c>
      <c r="BR25" s="358">
        <f t="shared" si="6"/>
        <v>0</v>
      </c>
      <c r="BS25" s="358">
        <f t="shared" si="7"/>
        <v>0</v>
      </c>
      <c r="BT25" s="358">
        <f t="shared" si="8"/>
        <v>0</v>
      </c>
      <c r="BU25" s="358">
        <f>IF(C25="Rul 1",Rul!$E$49,0)</f>
        <v>0</v>
      </c>
      <c r="BV25" s="358">
        <f>IF(C25="Rul 2",Rul!$G$49,0)</f>
        <v>0</v>
      </c>
      <c r="BW25" s="358">
        <f>IF(C25="Rul 3",Rul!$I$49,0)</f>
        <v>0</v>
      </c>
      <c r="BX25" s="358">
        <f>IF(C25="Rul 4",Rul!$K$49,0)</f>
        <v>0</v>
      </c>
      <c r="BY25" s="358">
        <f>IF(C25="Rul 5",Rul!$M$49,0)</f>
        <v>0</v>
      </c>
      <c r="BZ25" s="358">
        <f>IF(C25="Rul 6",Rul!$O$49,0)</f>
        <v>0</v>
      </c>
      <c r="CA25" s="359">
        <f>IF(AND(C25="Normal uge 1",B25="ma"),'Normal uger'!$E$51,0)</f>
        <v>0</v>
      </c>
      <c r="CB25" s="359">
        <f>IF(AND(C25="Normal uge 1",B25="ti"),'Normal uger'!$G$51,0)</f>
        <v>0</v>
      </c>
      <c r="CC25" s="359">
        <f>IF(AND(C25="Normal uge 1",B25="on"),'Normal uger'!$I$51,0)</f>
        <v>0</v>
      </c>
      <c r="CD25" s="359">
        <f>IF(AND(C25="Normal uge 1",B25="to"),'Normal uger'!$K$51,0)</f>
        <v>0</v>
      </c>
      <c r="CE25" s="359">
        <f>IF(AND(C25="Normal uge 1",B25="fr"),'Normal uger'!$M$51,0)</f>
        <v>0</v>
      </c>
      <c r="CF25" s="360">
        <f>IF(AND(C25="Normal uge 2",B25="ma"),'Normal uger'!$S$51,0)</f>
        <v>0</v>
      </c>
      <c r="CG25" s="360">
        <f>IF(AND(C25="Normal uge 2",B25="ti"),'Normal uger'!$U$51,0)</f>
        <v>0</v>
      </c>
      <c r="CH25" s="360">
        <f>IF(AND(C25="Normal uge 2",B25="on"),'Normal uger'!$W$51,0)</f>
        <v>0</v>
      </c>
      <c r="CI25" s="360">
        <f>IF(AND(C25="Normal uge 2",B25="to"),'Normal uger'!$Y$51,0)</f>
        <v>0</v>
      </c>
      <c r="CJ25" s="360">
        <f>IF(AND(C25="Normal uge 2",B25="fr"),'Normal uger'!$AA$51,0)</f>
        <v>0</v>
      </c>
      <c r="CK25" s="361">
        <f>IF(AND(C25="Normal uge 3",B25="ma"),'Normal uger'!$AG$51,0)</f>
        <v>0</v>
      </c>
      <c r="CL25" s="361">
        <f>IF(AND(C25="Normal uge 3",B25="ti"),'Normal uger'!$AI$51,0)</f>
        <v>0</v>
      </c>
      <c r="CM25" s="361">
        <f>IF(AND(C25="Normal uge 3",B25="on"),'Normal uger'!$AK$51,0)</f>
        <v>0</v>
      </c>
      <c r="CN25" s="361">
        <f>IF(AND(C25="Normal uge 3",B25="to"),'Normal uger'!$AM$51,0)</f>
        <v>0</v>
      </c>
      <c r="CO25" s="361">
        <f>IF(AND(C25="Normal uge 3",B25="fr"),'Normal uger'!$AO$51,0)</f>
        <v>0</v>
      </c>
      <c r="CP25" s="362">
        <f>IF(AND(C25="Normal uge 4",B25="ma"),'Normal uger'!$AU$51,0)</f>
        <v>0</v>
      </c>
      <c r="CQ25" s="362">
        <f>IF(AND(C25="Normal uge 4",B25="ti"),'Normal uger'!$AW$51,0)</f>
        <v>0</v>
      </c>
      <c r="CR25" s="362">
        <f>IF(AND(C25="Normal uge 4",B25="on"),'Normal uger'!$AY$51,0)</f>
        <v>0</v>
      </c>
      <c r="CS25" s="362">
        <f>IF(AND(C25="Normal uge 4",B25="to"),'Normal uger'!$BA$51,0)</f>
        <v>0</v>
      </c>
      <c r="CT25" s="362">
        <f>IF(AND(C25="Normal uge 4",B25="fr"),'Normal uger'!$BC$51,0)</f>
        <v>0</v>
      </c>
      <c r="CU25" s="655">
        <f>IF(AND(C25="Normal uge 5",B25="ma"),'Normal uger'!$BI$51,0)</f>
        <v>0</v>
      </c>
      <c r="CV25" s="655">
        <f>IF(AND(C25="Normal uge 5",B25="ti"),'Normal uger'!$BK$51,0)</f>
        <v>0</v>
      </c>
      <c r="CW25" s="655">
        <f>IF(AND(C25="Normal uge 5",B25="on"),'Normal uger'!$BM$51,0)</f>
        <v>0</v>
      </c>
      <c r="CX25" s="655">
        <f>IF(AND(C25="Normal uge 5",B25="to"),'Normal uger'!$BO$51,0)</f>
        <v>0</v>
      </c>
      <c r="CY25" s="655">
        <f>IF(AND(C25="Normal uge 5",B25="fr"),'Normal uger'!$BQ$51,0)</f>
        <v>0</v>
      </c>
      <c r="CZ25" s="654">
        <f>IF(AND(C25="Normal uge 6",B25="ma"),'Normal uger'!$BW$51,0)</f>
        <v>0</v>
      </c>
      <c r="DA25" s="654">
        <f>IF(AND(C25="Normal uge 6",B25="ti"),'Normal uger'!$BY$51,0)</f>
        <v>0</v>
      </c>
      <c r="DB25" s="654">
        <f>IF(AND(C25="Normal uge 6",B25="on"),'Normal uger'!$CA$51,0)</f>
        <v>0</v>
      </c>
      <c r="DC25" s="654">
        <f>IF(AND(C25="Normal uge 6",B25="to"),'Normal uger'!$CC$51,0)</f>
        <v>0</v>
      </c>
      <c r="DD25" s="654">
        <f>IF(AND(C25="Normal uge 6",B25="fr"),'Normal uger'!$CE$51,0)</f>
        <v>0</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IF(ISNUMBER(A25),A25+1,1)</f>
        <v>12</v>
      </c>
      <c r="B26" s="72" t="str">
        <f t="shared" si="0"/>
        <v>sø</v>
      </c>
      <c r="C26" s="73" t="s">
        <v>77</v>
      </c>
      <c r="D26" s="74" t="str">
        <f t="shared" si="1"/>
        <v/>
      </c>
      <c r="E26" s="858"/>
      <c r="F26" s="859"/>
      <c r="G26" s="860"/>
      <c r="H26" s="175"/>
      <c r="I26" s="221"/>
      <c r="J26" s="221"/>
      <c r="K26" s="191">
        <f t="shared" si="14"/>
        <v>0</v>
      </c>
      <c r="L26" s="191">
        <f t="shared" si="15"/>
        <v>0</v>
      </c>
      <c r="M26" s="238"/>
      <c r="N26" s="357"/>
      <c r="O26" s="408"/>
      <c r="P26" s="195"/>
      <c r="Q26" s="196"/>
      <c r="R26" s="196"/>
      <c r="S26" s="192"/>
      <c r="T26" s="255"/>
      <c r="U26" s="193"/>
      <c r="V26">
        <f t="shared" si="16"/>
        <v>0</v>
      </c>
      <c r="W26">
        <f t="shared" si="2"/>
        <v>0</v>
      </c>
      <c r="X26" s="358">
        <f t="shared" si="17"/>
        <v>0</v>
      </c>
      <c r="Y26" s="358">
        <f t="shared" si="18"/>
        <v>0</v>
      </c>
      <c r="Z26" s="358">
        <f t="shared" si="3"/>
        <v>0</v>
      </c>
      <c r="AA26" s="358">
        <f t="shared" si="19"/>
        <v>0</v>
      </c>
      <c r="AB26" s="358">
        <f t="shared" si="20"/>
        <v>0</v>
      </c>
      <c r="AC26" s="358">
        <f>IF(C26="Orlov",Stamoplysninger!$E$21*7.4,0)</f>
        <v>0</v>
      </c>
      <c r="AD26" s="358">
        <f>IF(C26="Rul 1",Rul!$E$46,0)</f>
        <v>0</v>
      </c>
      <c r="AE26" s="358">
        <f>IF(C26="Rul 2",Rul!$G$46,0)</f>
        <v>0</v>
      </c>
      <c r="AF26" s="358">
        <f>IF(C26="Rul 3",Rul!$I$46,0)</f>
        <v>0</v>
      </c>
      <c r="AG26" s="358">
        <f>IF(C26="Rul 4",Rul!$K$46,0)</f>
        <v>0</v>
      </c>
      <c r="AH26" s="358">
        <f>IF(C26="Rul 5",Rul!$M$46,0)</f>
        <v>0</v>
      </c>
      <c r="AI26" s="358">
        <f>IF(C26="Rul 6",Rul!$O$46,0)</f>
        <v>0</v>
      </c>
      <c r="AJ26" s="359">
        <f>IF(AND(C26="Normal uge 1",B26="ma"),'Normal uger'!$E$48,0)</f>
        <v>0</v>
      </c>
      <c r="AK26" s="359">
        <f>IF(AND(C26="Normal uge 1",B26="ti"),'Normal uger'!$G$48,0)</f>
        <v>0</v>
      </c>
      <c r="AL26" s="359">
        <f>IF(AND(C26="Normal uge 1",B26="on"),'Normal uger'!$I$48,0)</f>
        <v>0</v>
      </c>
      <c r="AM26" s="359">
        <f>IF(AND(C26="Normal uge 1",B26="to"),'Normal uger'!$K$48,0)</f>
        <v>0</v>
      </c>
      <c r="AN26" s="359">
        <f>IF(AND(C26="Normal uge 1",B26="fr"),'Normal uger'!$M$48,0)</f>
        <v>0</v>
      </c>
      <c r="AO26" s="360">
        <f>IF(AND(C26="Normal uge 2",B26="ma"),'Normal uger'!$S$48,0)</f>
        <v>0</v>
      </c>
      <c r="AP26" s="360">
        <f>IF(AND(C26="Normal uge 2",B26="ti"),'Normal uger'!$U$48,0)</f>
        <v>0</v>
      </c>
      <c r="AQ26" s="360">
        <f>IF(AND(C26="Normal uge 2",B26="on"),'Normal uger'!$W$48,0)</f>
        <v>0</v>
      </c>
      <c r="AR26" s="360">
        <f>IF(AND(C26="Normal uge 2",B26="to"),'Normal uger'!$Y$48,0)</f>
        <v>0</v>
      </c>
      <c r="AS26" s="360">
        <f>IF(AND(C26="Normal uge 2",B26="fr"),'Normal uger'!$AA$48,0)</f>
        <v>0</v>
      </c>
      <c r="AT26" s="361">
        <f>IF(AND(C26="Normal uge 3",B26="ma"),'Normal uger'!$AG$48,0)</f>
        <v>0</v>
      </c>
      <c r="AU26" s="361">
        <f>IF(AND(C26="Normal uge 3",B26="ti"),'Normal uger'!$AI$48,0)</f>
        <v>0</v>
      </c>
      <c r="AV26" s="361">
        <f>IF(AND(C26="Normal uge 3",B26="on"),'Normal uger'!$AK$48,0)</f>
        <v>0</v>
      </c>
      <c r="AW26" s="361">
        <f>IF(AND(C26="Normal uge 3",B26="to"),'Normal uger'!$AM$48,0)</f>
        <v>0</v>
      </c>
      <c r="AX26" s="361">
        <f>IF(AND(C26="Normal uge 3",B26="fr"),'Normal uger'!$AO$48,0)</f>
        <v>0</v>
      </c>
      <c r="AY26" s="362">
        <f>IF(AND(C26="Normal uge 4",B26="ma"),'Normal uger'!$AU$48,0)</f>
        <v>0</v>
      </c>
      <c r="AZ26" s="362">
        <f>IF(AND(C26="Normal uge 4",B26="ti"),'Normal uger'!$AW$48,0)</f>
        <v>0</v>
      </c>
      <c r="BA26" s="362">
        <f>IF(AND(C26="Normal uge 4",B26="on"),'Normal uger'!$AY$48,0)</f>
        <v>0</v>
      </c>
      <c r="BB26" s="362">
        <f>IF(AND(C26="Normal uge 4",B26="to"),'Normal uger'!$BA$48,0)</f>
        <v>0</v>
      </c>
      <c r="BC26" s="362">
        <f>IF(AND(C26="Normal uge 4",B26="fr"),'Normal uger'!$BC$48,0)</f>
        <v>0</v>
      </c>
      <c r="BD26" s="655">
        <f>IF(AND(C26="Normal uge 5",B26="ma"),'Normal uger'!$BI$48,0)</f>
        <v>0</v>
      </c>
      <c r="BE26" s="655">
        <f>IF(AND(C26="Normal uge 5",B26="ti"),'Normal uger'!$BK$48,0)</f>
        <v>0</v>
      </c>
      <c r="BF26" s="655">
        <f>IF(AND(C26="Normal uge 5",B26="on"),'Normal uger'!$BM$48,0)</f>
        <v>0</v>
      </c>
      <c r="BG26" s="655">
        <f>IF(AND(C26="Normal uge 5",B26="to"),'Normal uger'!$BO$48,0)</f>
        <v>0</v>
      </c>
      <c r="BH26" s="655">
        <f>IF(AND(C26="Normal uge 5",B26="fr"),'Normal uger'!$BQ$48,0)</f>
        <v>0</v>
      </c>
      <c r="BI26" s="654">
        <f>IF(AND(C26="Normal uge 6",B26="ma"),'Normal uger'!$BW$48,0)</f>
        <v>0</v>
      </c>
      <c r="BJ26" s="654">
        <f>IF(AND(C26="Normal uge 6",B26="ti"),'Normal uger'!$BY$48,0)</f>
        <v>0</v>
      </c>
      <c r="BK26" s="654">
        <f>IF(AND(C26="Normal uge 6",B26="on"),'Normal uger'!$CA$48,0)</f>
        <v>0</v>
      </c>
      <c r="BL26" s="654">
        <f>IF(AND(C26="Normal uge 6",B26="to"),'Normal uger'!$CC$48,0)</f>
        <v>0</v>
      </c>
      <c r="BM26" s="654">
        <f>IF(AND(C26="Normal uge 6",B26="fr"),'Normal uger'!$CE$48,0)</f>
        <v>0</v>
      </c>
      <c r="BN26" s="1">
        <f t="shared" si="21"/>
        <v>0</v>
      </c>
      <c r="BO26" s="125">
        <f t="shared" si="4"/>
        <v>0</v>
      </c>
      <c r="BP26" s="358">
        <f t="shared" si="5"/>
        <v>0</v>
      </c>
      <c r="BQ26" s="358">
        <f t="shared" si="22"/>
        <v>0</v>
      </c>
      <c r="BR26" s="358">
        <f t="shared" si="6"/>
        <v>0</v>
      </c>
      <c r="BS26" s="358">
        <f t="shared" si="7"/>
        <v>0</v>
      </c>
      <c r="BT26" s="358">
        <f t="shared" si="8"/>
        <v>0</v>
      </c>
      <c r="BU26" s="358">
        <f>IF(C26="Rul 1",Rul!$E$49,0)</f>
        <v>0</v>
      </c>
      <c r="BV26" s="358">
        <f>IF(C26="Rul 2",Rul!$G$49,0)</f>
        <v>0</v>
      </c>
      <c r="BW26" s="358">
        <f>IF(C26="Rul 3",Rul!$I$49,0)</f>
        <v>0</v>
      </c>
      <c r="BX26" s="358">
        <f>IF(C26="Rul 4",Rul!$K$49,0)</f>
        <v>0</v>
      </c>
      <c r="BY26" s="358">
        <f>IF(C26="Rul 5",Rul!$M$49,0)</f>
        <v>0</v>
      </c>
      <c r="BZ26" s="358">
        <f>IF(C26="Rul 6",Rul!$O$49,0)</f>
        <v>0</v>
      </c>
      <c r="CA26" s="359">
        <f>IF(AND(C26="Normal uge 1",B26="ma"),'Normal uger'!$E$51,0)</f>
        <v>0</v>
      </c>
      <c r="CB26" s="359">
        <f>IF(AND(C26="Normal uge 1",B26="ti"),'Normal uger'!$G$51,0)</f>
        <v>0</v>
      </c>
      <c r="CC26" s="359">
        <f>IF(AND(C26="Normal uge 1",B26="on"),'Normal uger'!$I$51,0)</f>
        <v>0</v>
      </c>
      <c r="CD26" s="359">
        <f>IF(AND(C26="Normal uge 1",B26="to"),'Normal uger'!$K$51,0)</f>
        <v>0</v>
      </c>
      <c r="CE26" s="359">
        <f>IF(AND(C26="Normal uge 1",B26="fr"),'Normal uger'!$M$51,0)</f>
        <v>0</v>
      </c>
      <c r="CF26" s="360">
        <f>IF(AND(C26="Normal uge 2",B26="ma"),'Normal uger'!$S$51,0)</f>
        <v>0</v>
      </c>
      <c r="CG26" s="360">
        <f>IF(AND(C26="Normal uge 2",B26="ti"),'Normal uger'!$U$51,0)</f>
        <v>0</v>
      </c>
      <c r="CH26" s="360">
        <f>IF(AND(C26="Normal uge 2",B26="on"),'Normal uger'!$W$51,0)</f>
        <v>0</v>
      </c>
      <c r="CI26" s="360">
        <f>IF(AND(C26="Normal uge 2",B26="to"),'Normal uger'!$Y$51,0)</f>
        <v>0</v>
      </c>
      <c r="CJ26" s="360">
        <f>IF(AND(C26="Normal uge 2",B26="fr"),'Normal uger'!$AA$51,0)</f>
        <v>0</v>
      </c>
      <c r="CK26" s="361">
        <f>IF(AND(C26="Normal uge 3",B26="ma"),'Normal uger'!$AG$51,0)</f>
        <v>0</v>
      </c>
      <c r="CL26" s="361">
        <f>IF(AND(C26="Normal uge 3",B26="ti"),'Normal uger'!$AI$51,0)</f>
        <v>0</v>
      </c>
      <c r="CM26" s="361">
        <f>IF(AND(C26="Normal uge 3",B26="on"),'Normal uger'!$AK$51,0)</f>
        <v>0</v>
      </c>
      <c r="CN26" s="361">
        <f>IF(AND(C26="Normal uge 3",B26="to"),'Normal uger'!$AM$51,0)</f>
        <v>0</v>
      </c>
      <c r="CO26" s="361">
        <f>IF(AND(C26="Normal uge 3",B26="fr"),'Normal uger'!$AO$51,0)</f>
        <v>0</v>
      </c>
      <c r="CP26" s="362">
        <f>IF(AND(C26="Normal uge 4",B26="ma"),'Normal uger'!$AU$51,0)</f>
        <v>0</v>
      </c>
      <c r="CQ26" s="362">
        <f>IF(AND(C26="Normal uge 4",B26="ti"),'Normal uger'!$AW$51,0)</f>
        <v>0</v>
      </c>
      <c r="CR26" s="362">
        <f>IF(AND(C26="Normal uge 4",B26="on"),'Normal uger'!$AY$51,0)</f>
        <v>0</v>
      </c>
      <c r="CS26" s="362">
        <f>IF(AND(C26="Normal uge 4",B26="to"),'Normal uger'!$BA$51,0)</f>
        <v>0</v>
      </c>
      <c r="CT26" s="362">
        <f>IF(AND(C26="Normal uge 4",B26="fr"),'Normal uger'!$BC$51,0)</f>
        <v>0</v>
      </c>
      <c r="CU26" s="655">
        <f>IF(AND(C26="Normal uge 5",B26="ma"),'Normal uger'!$BI$51,0)</f>
        <v>0</v>
      </c>
      <c r="CV26" s="655">
        <f>IF(AND(C26="Normal uge 5",B26="ti"),'Normal uger'!$BK$51,0)</f>
        <v>0</v>
      </c>
      <c r="CW26" s="655">
        <f>IF(AND(C26="Normal uge 5",B26="on"),'Normal uger'!$BM$51,0)</f>
        <v>0</v>
      </c>
      <c r="CX26" s="655">
        <f>IF(AND(C26="Normal uge 5",B26="to"),'Normal uger'!$BO$51,0)</f>
        <v>0</v>
      </c>
      <c r="CY26" s="655">
        <f>IF(AND(C26="Normal uge 5",B26="fr"),'Normal uger'!$BQ$51,0)</f>
        <v>0</v>
      </c>
      <c r="CZ26" s="654">
        <f>IF(AND(C26="Normal uge 6",B26="ma"),'Normal uger'!$BW$51,0)</f>
        <v>0</v>
      </c>
      <c r="DA26" s="654">
        <f>IF(AND(C26="Normal uge 6",B26="ti"),'Normal uger'!$BY$51,0)</f>
        <v>0</v>
      </c>
      <c r="DB26" s="654">
        <f>IF(AND(C26="Normal uge 6",B26="on"),'Normal uger'!$CA$51,0)</f>
        <v>0</v>
      </c>
      <c r="DC26" s="654">
        <f>IF(AND(C26="Normal uge 6",B26="to"),'Normal uger'!$CC$51,0)</f>
        <v>0</v>
      </c>
      <c r="DD26" s="654">
        <f>IF(AND(C26="Normal uge 6",B26="fr"),'Normal uger'!$CE$51,0)</f>
        <v>0</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IF(ISNUMBER(A26),A26+1,1)</f>
        <v>13</v>
      </c>
      <c r="B27" s="72" t="str">
        <f t="shared" si="0"/>
        <v>ma</v>
      </c>
      <c r="C27" s="73" t="s">
        <v>217</v>
      </c>
      <c r="D27" s="74">
        <f t="shared" si="1"/>
        <v>28.571428571428573</v>
      </c>
      <c r="E27" s="861"/>
      <c r="F27" s="862"/>
      <c r="G27" s="863"/>
      <c r="H27" s="174"/>
      <c r="I27" s="221"/>
      <c r="J27" s="221"/>
      <c r="K27" s="191">
        <f t="shared" si="14"/>
        <v>0</v>
      </c>
      <c r="L27" s="191">
        <f t="shared" si="15"/>
        <v>0</v>
      </c>
      <c r="M27" s="238"/>
      <c r="N27" s="357"/>
      <c r="O27" s="408"/>
      <c r="P27" s="195"/>
      <c r="Q27" s="196"/>
      <c r="R27" s="196"/>
      <c r="S27" s="192"/>
      <c r="T27" s="255"/>
      <c r="U27" s="193"/>
      <c r="V27">
        <f t="shared" si="16"/>
        <v>0</v>
      </c>
      <c r="W27">
        <f t="shared" si="2"/>
        <v>0</v>
      </c>
      <c r="X27" s="358">
        <f t="shared" si="17"/>
        <v>0</v>
      </c>
      <c r="Y27" s="358">
        <f t="shared" si="18"/>
        <v>0</v>
      </c>
      <c r="Z27" s="358">
        <f t="shared" si="3"/>
        <v>0</v>
      </c>
      <c r="AA27" s="358">
        <f t="shared" si="19"/>
        <v>0</v>
      </c>
      <c r="AB27" s="358">
        <f t="shared" si="20"/>
        <v>0</v>
      </c>
      <c r="AC27" s="358">
        <f>IF(C27="Orlov",Stamoplysninger!$E$21*7.4,0)</f>
        <v>0</v>
      </c>
      <c r="AD27" s="358">
        <f>IF(C27="Rul 1",Rul!$E$46,0)</f>
        <v>0</v>
      </c>
      <c r="AE27" s="358">
        <f>IF(C27="Rul 2",Rul!$G$46,0)</f>
        <v>0</v>
      </c>
      <c r="AF27" s="358">
        <f>IF(C27="Rul 3",Rul!$I$46,0)</f>
        <v>0</v>
      </c>
      <c r="AG27" s="358">
        <f>IF(C27="Rul 4",Rul!$K$46,0)</f>
        <v>0</v>
      </c>
      <c r="AH27" s="358">
        <f>IF(C27="Rul 5",Rul!$M$46,0)</f>
        <v>0</v>
      </c>
      <c r="AI27" s="358">
        <f>IF(C27="Rul 6",Rul!$O$46,0)</f>
        <v>0</v>
      </c>
      <c r="AJ27" s="359">
        <f>IF(AND(C27="Normal uge 1",B27="ma"),'Normal uger'!$E$48,0)</f>
        <v>0</v>
      </c>
      <c r="AK27" s="359">
        <f>IF(AND(C27="Normal uge 1",B27="ti"),'Normal uger'!$G$48,0)</f>
        <v>0</v>
      </c>
      <c r="AL27" s="359">
        <f>IF(AND(C27="Normal uge 1",B27="on"),'Normal uger'!$I$48,0)</f>
        <v>0</v>
      </c>
      <c r="AM27" s="359">
        <f>IF(AND(C27="Normal uge 1",B27="to"),'Normal uger'!$K$48,0)</f>
        <v>0</v>
      </c>
      <c r="AN27" s="359">
        <f>IF(AND(C27="Normal uge 1",B27="fr"),'Normal uger'!$M$48,0)</f>
        <v>0</v>
      </c>
      <c r="AO27" s="360">
        <f>IF(AND(C27="Normal uge 2",B27="ma"),'Normal uger'!$S$48,0)</f>
        <v>0</v>
      </c>
      <c r="AP27" s="360">
        <f>IF(AND(C27="Normal uge 2",B27="ti"),'Normal uger'!$U$48,0)</f>
        <v>0</v>
      </c>
      <c r="AQ27" s="360">
        <f>IF(AND(C27="Normal uge 2",B27="on"),'Normal uger'!$W$48,0)</f>
        <v>0</v>
      </c>
      <c r="AR27" s="360">
        <f>IF(AND(C27="Normal uge 2",B27="to"),'Normal uger'!$Y$48,0)</f>
        <v>0</v>
      </c>
      <c r="AS27" s="360">
        <f>IF(AND(C27="Normal uge 2",B27="fr"),'Normal uger'!$AA$48,0)</f>
        <v>0</v>
      </c>
      <c r="AT27" s="361">
        <f>IF(AND(C27="Normal uge 3",B27="ma"),'Normal uger'!$AG$48,0)</f>
        <v>0</v>
      </c>
      <c r="AU27" s="361">
        <f>IF(AND(C27="Normal uge 3",B27="ti"),'Normal uger'!$AI$48,0)</f>
        <v>0</v>
      </c>
      <c r="AV27" s="361">
        <f>IF(AND(C27="Normal uge 3",B27="on"),'Normal uger'!$AK$48,0)</f>
        <v>0</v>
      </c>
      <c r="AW27" s="361">
        <f>IF(AND(C27="Normal uge 3",B27="to"),'Normal uger'!$AM$48,0)</f>
        <v>0</v>
      </c>
      <c r="AX27" s="361">
        <f>IF(AND(C27="Normal uge 3",B27="fr"),'Normal uger'!$AO$48,0)</f>
        <v>0</v>
      </c>
      <c r="AY27" s="362">
        <f>IF(AND(C27="Normal uge 4",B27="ma"),'Normal uger'!$AU$48,0)</f>
        <v>0</v>
      </c>
      <c r="AZ27" s="362">
        <f>IF(AND(C27="Normal uge 4",B27="ti"),'Normal uger'!$AW$48,0)</f>
        <v>0</v>
      </c>
      <c r="BA27" s="362">
        <f>IF(AND(C27="Normal uge 4",B27="on"),'Normal uger'!$AY$48,0)</f>
        <v>0</v>
      </c>
      <c r="BB27" s="362">
        <f>IF(AND(C27="Normal uge 4",B27="to"),'Normal uger'!$BA$48,0)</f>
        <v>0</v>
      </c>
      <c r="BC27" s="362">
        <f>IF(AND(C27="Normal uge 4",B27="fr"),'Normal uger'!$BC$48,0)</f>
        <v>0</v>
      </c>
      <c r="BD27" s="655">
        <f>IF(AND(C27="Normal uge 5",B27="ma"),'Normal uger'!$BI$48,0)</f>
        <v>0</v>
      </c>
      <c r="BE27" s="655">
        <f>IF(AND(C27="Normal uge 5",B27="ti"),'Normal uger'!$BK$48,0)</f>
        <v>0</v>
      </c>
      <c r="BF27" s="655">
        <f>IF(AND(C27="Normal uge 5",B27="on"),'Normal uger'!$BM$48,0)</f>
        <v>0</v>
      </c>
      <c r="BG27" s="655">
        <f>IF(AND(C27="Normal uge 5",B27="to"),'Normal uger'!$BO$48,0)</f>
        <v>0</v>
      </c>
      <c r="BH27" s="655">
        <f>IF(AND(C27="Normal uge 5",B27="fr"),'Normal uger'!$BQ$48,0)</f>
        <v>0</v>
      </c>
      <c r="BI27" s="654">
        <f>IF(AND(C27="Normal uge 6",B27="ma"),'Normal uger'!$BW$48,0)</f>
        <v>0</v>
      </c>
      <c r="BJ27" s="654">
        <f>IF(AND(C27="Normal uge 6",B27="ti"),'Normal uger'!$BY$48,0)</f>
        <v>0</v>
      </c>
      <c r="BK27" s="654">
        <f>IF(AND(C27="Normal uge 6",B27="on"),'Normal uger'!$CA$48,0)</f>
        <v>0</v>
      </c>
      <c r="BL27" s="654">
        <f>IF(AND(C27="Normal uge 6",B27="to"),'Normal uger'!$CC$48,0)</f>
        <v>0</v>
      </c>
      <c r="BM27" s="654">
        <f>IF(AND(C27="Normal uge 6",B27="fr"),'Normal uger'!$CE$48,0)</f>
        <v>0</v>
      </c>
      <c r="BN27" s="1">
        <f t="shared" si="21"/>
        <v>0</v>
      </c>
      <c r="BO27" s="125">
        <f t="shared" si="4"/>
        <v>0</v>
      </c>
      <c r="BP27" s="358">
        <f t="shared" si="5"/>
        <v>0</v>
      </c>
      <c r="BQ27" s="358">
        <f t="shared" si="22"/>
        <v>0</v>
      </c>
      <c r="BR27" s="358">
        <f t="shared" si="6"/>
        <v>0</v>
      </c>
      <c r="BS27" s="358">
        <f t="shared" si="7"/>
        <v>0</v>
      </c>
      <c r="BT27" s="358">
        <f t="shared" si="8"/>
        <v>0</v>
      </c>
      <c r="BU27" s="358">
        <f>IF(C27="Rul 1",Rul!$E$49,0)</f>
        <v>0</v>
      </c>
      <c r="BV27" s="358">
        <f>IF(C27="Rul 2",Rul!$G$49,0)</f>
        <v>0</v>
      </c>
      <c r="BW27" s="358">
        <f>IF(C27="Rul 3",Rul!$I$49,0)</f>
        <v>0</v>
      </c>
      <c r="BX27" s="358">
        <f>IF(C27="Rul 4",Rul!$K$49,0)</f>
        <v>0</v>
      </c>
      <c r="BY27" s="358">
        <f>IF(C27="Rul 5",Rul!$M$49,0)</f>
        <v>0</v>
      </c>
      <c r="BZ27" s="358">
        <f>IF(C27="Rul 6",Rul!$O$49,0)</f>
        <v>0</v>
      </c>
      <c r="CA27" s="359">
        <f>IF(AND(C27="Normal uge 1",B27="ma"),'Normal uger'!$E$51,0)</f>
        <v>0</v>
      </c>
      <c r="CB27" s="359">
        <f>IF(AND(C27="Normal uge 1",B27="ti"),'Normal uger'!$G$51,0)</f>
        <v>0</v>
      </c>
      <c r="CC27" s="359">
        <f>IF(AND(C27="Normal uge 1",B27="on"),'Normal uger'!$I$51,0)</f>
        <v>0</v>
      </c>
      <c r="CD27" s="359">
        <f>IF(AND(C27="Normal uge 1",B27="to"),'Normal uger'!$K$51,0)</f>
        <v>0</v>
      </c>
      <c r="CE27" s="359">
        <f>IF(AND(C27="Normal uge 1",B27="fr"),'Normal uger'!$M$51,0)</f>
        <v>0</v>
      </c>
      <c r="CF27" s="360">
        <f>IF(AND(C27="Normal uge 2",B27="ma"),'Normal uger'!$S$51,0)</f>
        <v>0</v>
      </c>
      <c r="CG27" s="360">
        <f>IF(AND(C27="Normal uge 2",B27="ti"),'Normal uger'!$U$51,0)</f>
        <v>0</v>
      </c>
      <c r="CH27" s="360">
        <f>IF(AND(C27="Normal uge 2",B27="on"),'Normal uger'!$W$51,0)</f>
        <v>0</v>
      </c>
      <c r="CI27" s="360">
        <f>IF(AND(C27="Normal uge 2",B27="to"),'Normal uger'!$Y$51,0)</f>
        <v>0</v>
      </c>
      <c r="CJ27" s="360">
        <f>IF(AND(C27="Normal uge 2",B27="fr"),'Normal uger'!$AA$51,0)</f>
        <v>0</v>
      </c>
      <c r="CK27" s="361">
        <f>IF(AND(C27="Normal uge 3",B27="ma"),'Normal uger'!$AG$51,0)</f>
        <v>0</v>
      </c>
      <c r="CL27" s="361">
        <f>IF(AND(C27="Normal uge 3",B27="ti"),'Normal uger'!$AI$51,0)</f>
        <v>0</v>
      </c>
      <c r="CM27" s="361">
        <f>IF(AND(C27="Normal uge 3",B27="on"),'Normal uger'!$AK$51,0)</f>
        <v>0</v>
      </c>
      <c r="CN27" s="361">
        <f>IF(AND(C27="Normal uge 3",B27="to"),'Normal uger'!$AM$51,0)</f>
        <v>0</v>
      </c>
      <c r="CO27" s="361">
        <f>IF(AND(C27="Normal uge 3",B27="fr"),'Normal uger'!$AO$51,0)</f>
        <v>0</v>
      </c>
      <c r="CP27" s="362">
        <f>IF(AND(C27="Normal uge 4",B27="ma"),'Normal uger'!$AU$51,0)</f>
        <v>0</v>
      </c>
      <c r="CQ27" s="362">
        <f>IF(AND(C27="Normal uge 4",B27="ti"),'Normal uger'!$AW$51,0)</f>
        <v>0</v>
      </c>
      <c r="CR27" s="362">
        <f>IF(AND(C27="Normal uge 4",B27="on"),'Normal uger'!$AY$51,0)</f>
        <v>0</v>
      </c>
      <c r="CS27" s="362">
        <f>IF(AND(C27="Normal uge 4",B27="to"),'Normal uger'!$BA$51,0)</f>
        <v>0</v>
      </c>
      <c r="CT27" s="362">
        <f>IF(AND(C27="Normal uge 4",B27="fr"),'Normal uger'!$BC$51,0)</f>
        <v>0</v>
      </c>
      <c r="CU27" s="655">
        <f>IF(AND(C27="Normal uge 5",B27="ma"),'Normal uger'!$BI$51,0)</f>
        <v>0</v>
      </c>
      <c r="CV27" s="655">
        <f>IF(AND(C27="Normal uge 5",B27="ti"),'Normal uger'!$BK$51,0)</f>
        <v>0</v>
      </c>
      <c r="CW27" s="655">
        <f>IF(AND(C27="Normal uge 5",B27="on"),'Normal uger'!$BM$51,0)</f>
        <v>0</v>
      </c>
      <c r="CX27" s="655">
        <f>IF(AND(C27="Normal uge 5",B27="to"),'Normal uger'!$BO$51,0)</f>
        <v>0</v>
      </c>
      <c r="CY27" s="655">
        <f>IF(AND(C27="Normal uge 5",B27="fr"),'Normal uger'!$BQ$51,0)</f>
        <v>0</v>
      </c>
      <c r="CZ27" s="654">
        <f>IF(AND(C27="Normal uge 6",B27="ma"),'Normal uger'!$BW$51,0)</f>
        <v>0</v>
      </c>
      <c r="DA27" s="654">
        <f>IF(AND(C27="Normal uge 6",B27="ti"),'Normal uger'!$BY$51,0)</f>
        <v>0</v>
      </c>
      <c r="DB27" s="654">
        <f>IF(AND(C27="Normal uge 6",B27="on"),'Normal uger'!$CA$51,0)</f>
        <v>0</v>
      </c>
      <c r="DC27" s="654">
        <f>IF(AND(C27="Normal uge 6",B27="to"),'Normal uger'!$CC$51,0)</f>
        <v>0</v>
      </c>
      <c r="DD27" s="654">
        <f>IF(AND(C27="Normal uge 6",B27="fr"),'Normal uger'!$CE$51,0)</f>
        <v>0</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14</v>
      </c>
      <c r="B28" s="72" t="str">
        <f t="shared" si="0"/>
        <v>ti</v>
      </c>
      <c r="C28" s="73" t="s">
        <v>217</v>
      </c>
      <c r="D28" s="74" t="str">
        <f t="shared" si="1"/>
        <v/>
      </c>
      <c r="E28" s="861"/>
      <c r="F28" s="862"/>
      <c r="G28" s="863"/>
      <c r="H28" s="174"/>
      <c r="I28" s="221"/>
      <c r="J28" s="221"/>
      <c r="K28" s="191">
        <f t="shared" si="14"/>
        <v>0</v>
      </c>
      <c r="L28" s="191">
        <f t="shared" si="15"/>
        <v>0</v>
      </c>
      <c r="M28" s="238"/>
      <c r="N28" s="357"/>
      <c r="O28" s="408"/>
      <c r="P28" s="195"/>
      <c r="Q28" s="196"/>
      <c r="R28" s="196"/>
      <c r="S28" s="192"/>
      <c r="T28" s="255"/>
      <c r="U28" s="193"/>
      <c r="V28">
        <f t="shared" si="16"/>
        <v>0</v>
      </c>
      <c r="W28">
        <f t="shared" si="2"/>
        <v>0</v>
      </c>
      <c r="X28" s="358">
        <f t="shared" si="17"/>
        <v>0</v>
      </c>
      <c r="Y28" s="358">
        <f t="shared" si="18"/>
        <v>0</v>
      </c>
      <c r="Z28" s="358">
        <f t="shared" si="3"/>
        <v>0</v>
      </c>
      <c r="AA28" s="358">
        <f t="shared" si="19"/>
        <v>0</v>
      </c>
      <c r="AB28" s="358">
        <f t="shared" si="20"/>
        <v>0</v>
      </c>
      <c r="AC28" s="358">
        <f>IF(C28="Orlov",Stamoplysninger!$E$21*7.4,0)</f>
        <v>0</v>
      </c>
      <c r="AD28" s="358">
        <f>IF(C28="Rul 1",Rul!$E$46,0)</f>
        <v>0</v>
      </c>
      <c r="AE28" s="358">
        <f>IF(C28="Rul 2",Rul!$G$46,0)</f>
        <v>0</v>
      </c>
      <c r="AF28" s="358">
        <f>IF(C28="Rul 3",Rul!$I$46,0)</f>
        <v>0</v>
      </c>
      <c r="AG28" s="358">
        <f>IF(C28="Rul 4",Rul!$K$46,0)</f>
        <v>0</v>
      </c>
      <c r="AH28" s="358">
        <f>IF(C28="Rul 5",Rul!$M$46,0)</f>
        <v>0</v>
      </c>
      <c r="AI28" s="358">
        <f>IF(C28="Rul 6",Rul!$O$46,0)</f>
        <v>0</v>
      </c>
      <c r="AJ28" s="359">
        <f>IF(AND(C28="Normal uge 1",B28="ma"),'Normal uger'!$E$48,0)</f>
        <v>0</v>
      </c>
      <c r="AK28" s="359">
        <f>IF(AND(C28="Normal uge 1",B28="ti"),'Normal uger'!$G$48,0)</f>
        <v>0</v>
      </c>
      <c r="AL28" s="359">
        <f>IF(AND(C28="Normal uge 1",B28="on"),'Normal uger'!$I$48,0)</f>
        <v>0</v>
      </c>
      <c r="AM28" s="359">
        <f>IF(AND(C28="Normal uge 1",B28="to"),'Normal uger'!$K$48,0)</f>
        <v>0</v>
      </c>
      <c r="AN28" s="359">
        <f>IF(AND(C28="Normal uge 1",B28="fr"),'Normal uger'!$M$48,0)</f>
        <v>0</v>
      </c>
      <c r="AO28" s="360">
        <f>IF(AND(C28="Normal uge 2",B28="ma"),'Normal uger'!$S$48,0)</f>
        <v>0</v>
      </c>
      <c r="AP28" s="360">
        <f>IF(AND(C28="Normal uge 2",B28="ti"),'Normal uger'!$U$48,0)</f>
        <v>0</v>
      </c>
      <c r="AQ28" s="360">
        <f>IF(AND(C28="Normal uge 2",B28="on"),'Normal uger'!$W$48,0)</f>
        <v>0</v>
      </c>
      <c r="AR28" s="360">
        <f>IF(AND(C28="Normal uge 2",B28="to"),'Normal uger'!$Y$48,0)</f>
        <v>0</v>
      </c>
      <c r="AS28" s="360">
        <f>IF(AND(C28="Normal uge 2",B28="fr"),'Normal uger'!$AA$48,0)</f>
        <v>0</v>
      </c>
      <c r="AT28" s="361">
        <f>IF(AND(C28="Normal uge 3",B28="ma"),'Normal uger'!$AG$48,0)</f>
        <v>0</v>
      </c>
      <c r="AU28" s="361">
        <f>IF(AND(C28="Normal uge 3",B28="ti"),'Normal uger'!$AI$48,0)</f>
        <v>0</v>
      </c>
      <c r="AV28" s="361">
        <f>IF(AND(C28="Normal uge 3",B28="on"),'Normal uger'!$AK$48,0)</f>
        <v>0</v>
      </c>
      <c r="AW28" s="361">
        <f>IF(AND(C28="Normal uge 3",B28="to"),'Normal uger'!$AM$48,0)</f>
        <v>0</v>
      </c>
      <c r="AX28" s="361">
        <f>IF(AND(C28="Normal uge 3",B28="fr"),'Normal uger'!$AO$48,0)</f>
        <v>0</v>
      </c>
      <c r="AY28" s="362">
        <f>IF(AND(C28="Normal uge 4",B28="ma"),'Normal uger'!$AU$48,0)</f>
        <v>0</v>
      </c>
      <c r="AZ28" s="362">
        <f>IF(AND(C28="Normal uge 4",B28="ti"),'Normal uger'!$AW$48,0)</f>
        <v>0</v>
      </c>
      <c r="BA28" s="362">
        <f>IF(AND(C28="Normal uge 4",B28="on"),'Normal uger'!$AY$48,0)</f>
        <v>0</v>
      </c>
      <c r="BB28" s="362">
        <f>IF(AND(C28="Normal uge 4",B28="to"),'Normal uger'!$BA$48,0)</f>
        <v>0</v>
      </c>
      <c r="BC28" s="362">
        <f>IF(AND(C28="Normal uge 4",B28="fr"),'Normal uger'!$BC$48,0)</f>
        <v>0</v>
      </c>
      <c r="BD28" s="655">
        <f>IF(AND(C28="Normal uge 5",B28="ma"),'Normal uger'!$BI$48,0)</f>
        <v>0</v>
      </c>
      <c r="BE28" s="655">
        <f>IF(AND(C28="Normal uge 5",B28="ti"),'Normal uger'!$BK$48,0)</f>
        <v>0</v>
      </c>
      <c r="BF28" s="655">
        <f>IF(AND(C28="Normal uge 5",B28="on"),'Normal uger'!$BM$48,0)</f>
        <v>0</v>
      </c>
      <c r="BG28" s="655">
        <f>IF(AND(C28="Normal uge 5",B28="to"),'Normal uger'!$BO$48,0)</f>
        <v>0</v>
      </c>
      <c r="BH28" s="655">
        <f>IF(AND(C28="Normal uge 5",B28="fr"),'Normal uger'!$BQ$48,0)</f>
        <v>0</v>
      </c>
      <c r="BI28" s="654">
        <f>IF(AND(C28="Normal uge 6",B28="ma"),'Normal uger'!$BW$48,0)</f>
        <v>0</v>
      </c>
      <c r="BJ28" s="654">
        <f>IF(AND(C28="Normal uge 6",B28="ti"),'Normal uger'!$BY$48,0)</f>
        <v>0</v>
      </c>
      <c r="BK28" s="654">
        <f>IF(AND(C28="Normal uge 6",B28="on"),'Normal uger'!$CA$48,0)</f>
        <v>0</v>
      </c>
      <c r="BL28" s="654">
        <f>IF(AND(C28="Normal uge 6",B28="to"),'Normal uger'!$CC$48,0)</f>
        <v>0</v>
      </c>
      <c r="BM28" s="654">
        <f>IF(AND(C28="Normal uge 6",B28="fr"),'Normal uger'!$CE$48,0)</f>
        <v>0</v>
      </c>
      <c r="BN28" s="1">
        <f t="shared" si="21"/>
        <v>0</v>
      </c>
      <c r="BO28" s="125">
        <f t="shared" si="4"/>
        <v>0</v>
      </c>
      <c r="BP28" s="358">
        <f t="shared" si="5"/>
        <v>0</v>
      </c>
      <c r="BQ28" s="358">
        <f t="shared" si="22"/>
        <v>0</v>
      </c>
      <c r="BR28" s="358">
        <f t="shared" si="6"/>
        <v>0</v>
      </c>
      <c r="BS28" s="358">
        <f t="shared" si="7"/>
        <v>0</v>
      </c>
      <c r="BT28" s="358">
        <f t="shared" si="8"/>
        <v>0</v>
      </c>
      <c r="BU28" s="358">
        <f>IF(C28="Rul 1",Rul!$E$49,0)</f>
        <v>0</v>
      </c>
      <c r="BV28" s="358">
        <f>IF(C28="Rul 2",Rul!$G$49,0)</f>
        <v>0</v>
      </c>
      <c r="BW28" s="358">
        <f>IF(C28="Rul 3",Rul!$I$49,0)</f>
        <v>0</v>
      </c>
      <c r="BX28" s="358">
        <f>IF(C28="Rul 4",Rul!$K$49,0)</f>
        <v>0</v>
      </c>
      <c r="BY28" s="358">
        <f>IF(C28="Rul 5",Rul!$M$49,0)</f>
        <v>0</v>
      </c>
      <c r="BZ28" s="358">
        <f>IF(C28="Rul 6",Rul!$O$49,0)</f>
        <v>0</v>
      </c>
      <c r="CA28" s="359">
        <f>IF(AND(C28="Normal uge 1",B28="ma"),'Normal uger'!$E$51,0)</f>
        <v>0</v>
      </c>
      <c r="CB28" s="359">
        <f>IF(AND(C28="Normal uge 1",B28="ti"),'Normal uger'!$G$51,0)</f>
        <v>0</v>
      </c>
      <c r="CC28" s="359">
        <f>IF(AND(C28="Normal uge 1",B28="on"),'Normal uger'!$I$51,0)</f>
        <v>0</v>
      </c>
      <c r="CD28" s="359">
        <f>IF(AND(C28="Normal uge 1",B28="to"),'Normal uger'!$K$51,0)</f>
        <v>0</v>
      </c>
      <c r="CE28" s="359">
        <f>IF(AND(C28="Normal uge 1",B28="fr"),'Normal uger'!$M$51,0)</f>
        <v>0</v>
      </c>
      <c r="CF28" s="360">
        <f>IF(AND(C28="Normal uge 2",B28="ma"),'Normal uger'!$S$51,0)</f>
        <v>0</v>
      </c>
      <c r="CG28" s="360">
        <f>IF(AND(C28="Normal uge 2",B28="ti"),'Normal uger'!$U$51,0)</f>
        <v>0</v>
      </c>
      <c r="CH28" s="360">
        <f>IF(AND(C28="Normal uge 2",B28="on"),'Normal uger'!$W$51,0)</f>
        <v>0</v>
      </c>
      <c r="CI28" s="360">
        <f>IF(AND(C28="Normal uge 2",B28="to"),'Normal uger'!$Y$51,0)</f>
        <v>0</v>
      </c>
      <c r="CJ28" s="360">
        <f>IF(AND(C28="Normal uge 2",B28="fr"),'Normal uger'!$AA$51,0)</f>
        <v>0</v>
      </c>
      <c r="CK28" s="361">
        <f>IF(AND(C28="Normal uge 3",B28="ma"),'Normal uger'!$AG$51,0)</f>
        <v>0</v>
      </c>
      <c r="CL28" s="361">
        <f>IF(AND(C28="Normal uge 3",B28="ti"),'Normal uger'!$AI$51,0)</f>
        <v>0</v>
      </c>
      <c r="CM28" s="361">
        <f>IF(AND(C28="Normal uge 3",B28="on"),'Normal uger'!$AK$51,0)</f>
        <v>0</v>
      </c>
      <c r="CN28" s="361">
        <f>IF(AND(C28="Normal uge 3",B28="to"),'Normal uger'!$AM$51,0)</f>
        <v>0</v>
      </c>
      <c r="CO28" s="361">
        <f>IF(AND(C28="Normal uge 3",B28="fr"),'Normal uger'!$AO$51,0)</f>
        <v>0</v>
      </c>
      <c r="CP28" s="362">
        <f>IF(AND(C28="Normal uge 4",B28="ma"),'Normal uger'!$AU$51,0)</f>
        <v>0</v>
      </c>
      <c r="CQ28" s="362">
        <f>IF(AND(C28="Normal uge 4",B28="ti"),'Normal uger'!$AW$51,0)</f>
        <v>0</v>
      </c>
      <c r="CR28" s="362">
        <f>IF(AND(C28="Normal uge 4",B28="on"),'Normal uger'!$AY$51,0)</f>
        <v>0</v>
      </c>
      <c r="CS28" s="362">
        <f>IF(AND(C28="Normal uge 4",B28="to"),'Normal uger'!$BA$51,0)</f>
        <v>0</v>
      </c>
      <c r="CT28" s="362">
        <f>IF(AND(C28="Normal uge 4",B28="fr"),'Normal uger'!$BC$51,0)</f>
        <v>0</v>
      </c>
      <c r="CU28" s="655">
        <f>IF(AND(C28="Normal uge 5",B28="ma"),'Normal uger'!$BI$51,0)</f>
        <v>0</v>
      </c>
      <c r="CV28" s="655">
        <f>IF(AND(C28="Normal uge 5",B28="ti"),'Normal uger'!$BK$51,0)</f>
        <v>0</v>
      </c>
      <c r="CW28" s="655">
        <f>IF(AND(C28="Normal uge 5",B28="on"),'Normal uger'!$BM$51,0)</f>
        <v>0</v>
      </c>
      <c r="CX28" s="655">
        <f>IF(AND(C28="Normal uge 5",B28="to"),'Normal uger'!$BO$51,0)</f>
        <v>0</v>
      </c>
      <c r="CY28" s="655">
        <f>IF(AND(C28="Normal uge 5",B28="fr"),'Normal uger'!$BQ$51,0)</f>
        <v>0</v>
      </c>
      <c r="CZ28" s="654">
        <f>IF(AND(C28="Normal uge 6",B28="ma"),'Normal uger'!$BW$51,0)</f>
        <v>0</v>
      </c>
      <c r="DA28" s="654">
        <f>IF(AND(C28="Normal uge 6",B28="ti"),'Normal uger'!$BY$51,0)</f>
        <v>0</v>
      </c>
      <c r="DB28" s="654">
        <f>IF(AND(C28="Normal uge 6",B28="on"),'Normal uger'!$CA$51,0)</f>
        <v>0</v>
      </c>
      <c r="DC28" s="654">
        <f>IF(AND(C28="Normal uge 6",B28="to"),'Normal uger'!$CC$51,0)</f>
        <v>0</v>
      </c>
      <c r="DD28" s="654">
        <f>IF(AND(C28="Normal uge 6",B28="fr"),'Normal uger'!$CE$51,0)</f>
        <v>0</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15</v>
      </c>
      <c r="B29" s="72" t="str">
        <f t="shared" si="0"/>
        <v>on</v>
      </c>
      <c r="C29" s="73" t="s">
        <v>217</v>
      </c>
      <c r="D29" s="74" t="str">
        <f t="shared" si="1"/>
        <v/>
      </c>
      <c r="E29" s="861"/>
      <c r="F29" s="862"/>
      <c r="G29" s="863"/>
      <c r="H29" s="174"/>
      <c r="I29" s="221"/>
      <c r="J29" s="221"/>
      <c r="K29" s="191">
        <f t="shared" si="14"/>
        <v>0</v>
      </c>
      <c r="L29" s="191">
        <f t="shared" si="15"/>
        <v>0</v>
      </c>
      <c r="M29" s="238"/>
      <c r="N29" s="357"/>
      <c r="O29" s="408"/>
      <c r="P29" s="195"/>
      <c r="Q29" s="196"/>
      <c r="R29" s="196"/>
      <c r="S29" s="192"/>
      <c r="T29" s="255"/>
      <c r="U29" s="193"/>
      <c r="V29">
        <f t="shared" si="16"/>
        <v>0</v>
      </c>
      <c r="W29">
        <f t="shared" si="2"/>
        <v>0</v>
      </c>
      <c r="X29" s="358">
        <f t="shared" si="17"/>
        <v>0</v>
      </c>
      <c r="Y29" s="358">
        <f t="shared" si="18"/>
        <v>0</v>
      </c>
      <c r="Z29" s="358">
        <f t="shared" si="3"/>
        <v>0</v>
      </c>
      <c r="AA29" s="358">
        <f t="shared" si="19"/>
        <v>0</v>
      </c>
      <c r="AB29" s="358">
        <f t="shared" si="20"/>
        <v>0</v>
      </c>
      <c r="AC29" s="358">
        <f>IF(C29="Orlov",Stamoplysninger!$E$21*7.4,0)</f>
        <v>0</v>
      </c>
      <c r="AD29" s="358">
        <f>IF(C29="Rul 1",Rul!$E$46,0)</f>
        <v>0</v>
      </c>
      <c r="AE29" s="358">
        <f>IF(C29="Rul 2",Rul!$G$46,0)</f>
        <v>0</v>
      </c>
      <c r="AF29" s="358">
        <f>IF(C29="Rul 3",Rul!$I$46,0)</f>
        <v>0</v>
      </c>
      <c r="AG29" s="358">
        <f>IF(C29="Rul 4",Rul!$K$46,0)</f>
        <v>0</v>
      </c>
      <c r="AH29" s="358">
        <f>IF(C29="Rul 5",Rul!$M$46,0)</f>
        <v>0</v>
      </c>
      <c r="AI29" s="358">
        <f>IF(C29="Rul 6",Rul!$O$46,0)</f>
        <v>0</v>
      </c>
      <c r="AJ29" s="359">
        <f>IF(AND(C29="Normal uge 1",B29="ma"),'Normal uger'!$E$48,0)</f>
        <v>0</v>
      </c>
      <c r="AK29" s="359">
        <f>IF(AND(C29="Normal uge 1",B29="ti"),'Normal uger'!$G$48,0)</f>
        <v>0</v>
      </c>
      <c r="AL29" s="359">
        <f>IF(AND(C29="Normal uge 1",B29="on"),'Normal uger'!$I$48,0)</f>
        <v>0</v>
      </c>
      <c r="AM29" s="359">
        <f>IF(AND(C29="Normal uge 1",B29="to"),'Normal uger'!$K$48,0)</f>
        <v>0</v>
      </c>
      <c r="AN29" s="359">
        <f>IF(AND(C29="Normal uge 1",B29="fr"),'Normal uger'!$M$48,0)</f>
        <v>0</v>
      </c>
      <c r="AO29" s="360">
        <f>IF(AND(C29="Normal uge 2",B29="ma"),'Normal uger'!$S$48,0)</f>
        <v>0</v>
      </c>
      <c r="AP29" s="360">
        <f>IF(AND(C29="Normal uge 2",B29="ti"),'Normal uger'!$U$48,0)</f>
        <v>0</v>
      </c>
      <c r="AQ29" s="360">
        <f>IF(AND(C29="Normal uge 2",B29="on"),'Normal uger'!$W$48,0)</f>
        <v>0</v>
      </c>
      <c r="AR29" s="360">
        <f>IF(AND(C29="Normal uge 2",B29="to"),'Normal uger'!$Y$48,0)</f>
        <v>0</v>
      </c>
      <c r="AS29" s="360">
        <f>IF(AND(C29="Normal uge 2",B29="fr"),'Normal uger'!$AA$48,0)</f>
        <v>0</v>
      </c>
      <c r="AT29" s="361">
        <f>IF(AND(C29="Normal uge 3",B29="ma"),'Normal uger'!$AG$48,0)</f>
        <v>0</v>
      </c>
      <c r="AU29" s="361">
        <f>IF(AND(C29="Normal uge 3",B29="ti"),'Normal uger'!$AI$48,0)</f>
        <v>0</v>
      </c>
      <c r="AV29" s="361">
        <f>IF(AND(C29="Normal uge 3",B29="on"),'Normal uger'!$AK$48,0)</f>
        <v>0</v>
      </c>
      <c r="AW29" s="361">
        <f>IF(AND(C29="Normal uge 3",B29="to"),'Normal uger'!$AM$48,0)</f>
        <v>0</v>
      </c>
      <c r="AX29" s="361">
        <f>IF(AND(C29="Normal uge 3",B29="fr"),'Normal uger'!$AO$48,0)</f>
        <v>0</v>
      </c>
      <c r="AY29" s="362">
        <f>IF(AND(C29="Normal uge 4",B29="ma"),'Normal uger'!$AU$48,0)</f>
        <v>0</v>
      </c>
      <c r="AZ29" s="362">
        <f>IF(AND(C29="Normal uge 4",B29="ti"),'Normal uger'!$AW$48,0)</f>
        <v>0</v>
      </c>
      <c r="BA29" s="362">
        <f>IF(AND(C29="Normal uge 4",B29="on"),'Normal uger'!$AY$48,0)</f>
        <v>0</v>
      </c>
      <c r="BB29" s="362">
        <f>IF(AND(C29="Normal uge 4",B29="to"),'Normal uger'!$BA$48,0)</f>
        <v>0</v>
      </c>
      <c r="BC29" s="362">
        <f>IF(AND(C29="Normal uge 4",B29="fr"),'Normal uger'!$BC$48,0)</f>
        <v>0</v>
      </c>
      <c r="BD29" s="655">
        <f>IF(AND(C29="Normal uge 5",B29="ma"),'Normal uger'!$BI$48,0)</f>
        <v>0</v>
      </c>
      <c r="BE29" s="655">
        <f>IF(AND(C29="Normal uge 5",B29="ti"),'Normal uger'!$BK$48,0)</f>
        <v>0</v>
      </c>
      <c r="BF29" s="655">
        <f>IF(AND(C29="Normal uge 5",B29="on"),'Normal uger'!$BM$48,0)</f>
        <v>0</v>
      </c>
      <c r="BG29" s="655">
        <f>IF(AND(C29="Normal uge 5",B29="to"),'Normal uger'!$BO$48,0)</f>
        <v>0</v>
      </c>
      <c r="BH29" s="655">
        <f>IF(AND(C29="Normal uge 5",B29="fr"),'Normal uger'!$BQ$48,0)</f>
        <v>0</v>
      </c>
      <c r="BI29" s="654">
        <f>IF(AND(C29="Normal uge 6",B29="ma"),'Normal uger'!$BW$48,0)</f>
        <v>0</v>
      </c>
      <c r="BJ29" s="654">
        <f>IF(AND(C29="Normal uge 6",B29="ti"),'Normal uger'!$BY$48,0)</f>
        <v>0</v>
      </c>
      <c r="BK29" s="654">
        <f>IF(AND(C29="Normal uge 6",B29="on"),'Normal uger'!$CA$48,0)</f>
        <v>0</v>
      </c>
      <c r="BL29" s="654">
        <f>IF(AND(C29="Normal uge 6",B29="to"),'Normal uger'!$CC$48,0)</f>
        <v>0</v>
      </c>
      <c r="BM29" s="654">
        <f>IF(AND(C29="Normal uge 6",B29="fr"),'Normal uger'!$CE$48,0)</f>
        <v>0</v>
      </c>
      <c r="BN29" s="1">
        <f t="shared" si="21"/>
        <v>0</v>
      </c>
      <c r="BO29" s="125">
        <f t="shared" si="4"/>
        <v>0</v>
      </c>
      <c r="BP29" s="358">
        <f t="shared" si="5"/>
        <v>0</v>
      </c>
      <c r="BQ29" s="358">
        <f t="shared" si="22"/>
        <v>0</v>
      </c>
      <c r="BR29" s="358">
        <f t="shared" si="6"/>
        <v>0</v>
      </c>
      <c r="BS29" s="358">
        <f t="shared" si="7"/>
        <v>0</v>
      </c>
      <c r="BT29" s="358">
        <f t="shared" si="8"/>
        <v>0</v>
      </c>
      <c r="BU29" s="358">
        <f>IF(C29="Rul 1",Rul!$E$49,0)</f>
        <v>0</v>
      </c>
      <c r="BV29" s="358">
        <f>IF(C29="Rul 2",Rul!$G$49,0)</f>
        <v>0</v>
      </c>
      <c r="BW29" s="358">
        <f>IF(C29="Rul 3",Rul!$I$49,0)</f>
        <v>0</v>
      </c>
      <c r="BX29" s="358">
        <f>IF(C29="Rul 4",Rul!$K$49,0)</f>
        <v>0</v>
      </c>
      <c r="BY29" s="358">
        <f>IF(C29="Rul 5",Rul!$M$49,0)</f>
        <v>0</v>
      </c>
      <c r="BZ29" s="358">
        <f>IF(C29="Rul 6",Rul!$O$49,0)</f>
        <v>0</v>
      </c>
      <c r="CA29" s="359">
        <f>IF(AND(C29="Normal uge 1",B29="ma"),'Normal uger'!$E$51,0)</f>
        <v>0</v>
      </c>
      <c r="CB29" s="359">
        <f>IF(AND(C29="Normal uge 1",B29="ti"),'Normal uger'!$G$51,0)</f>
        <v>0</v>
      </c>
      <c r="CC29" s="359">
        <f>IF(AND(C29="Normal uge 1",B29="on"),'Normal uger'!$I$51,0)</f>
        <v>0</v>
      </c>
      <c r="CD29" s="359">
        <f>IF(AND(C29="Normal uge 1",B29="to"),'Normal uger'!$K$51,0)</f>
        <v>0</v>
      </c>
      <c r="CE29" s="359">
        <f>IF(AND(C29="Normal uge 1",B29="fr"),'Normal uger'!$M$51,0)</f>
        <v>0</v>
      </c>
      <c r="CF29" s="360">
        <f>IF(AND(C29="Normal uge 2",B29="ma"),'Normal uger'!$S$51,0)</f>
        <v>0</v>
      </c>
      <c r="CG29" s="360">
        <f>IF(AND(C29="Normal uge 2",B29="ti"),'Normal uger'!$U$51,0)</f>
        <v>0</v>
      </c>
      <c r="CH29" s="360">
        <f>IF(AND(C29="Normal uge 2",B29="on"),'Normal uger'!$W$51,0)</f>
        <v>0</v>
      </c>
      <c r="CI29" s="360">
        <f>IF(AND(C29="Normal uge 2",B29="to"),'Normal uger'!$Y$51,0)</f>
        <v>0</v>
      </c>
      <c r="CJ29" s="360">
        <f>IF(AND(C29="Normal uge 2",B29="fr"),'Normal uger'!$AA$51,0)</f>
        <v>0</v>
      </c>
      <c r="CK29" s="361">
        <f>IF(AND(C29="Normal uge 3",B29="ma"),'Normal uger'!$AG$51,0)</f>
        <v>0</v>
      </c>
      <c r="CL29" s="361">
        <f>IF(AND(C29="Normal uge 3",B29="ti"),'Normal uger'!$AI$51,0)</f>
        <v>0</v>
      </c>
      <c r="CM29" s="361">
        <f>IF(AND(C29="Normal uge 3",B29="on"),'Normal uger'!$AK$51,0)</f>
        <v>0</v>
      </c>
      <c r="CN29" s="361">
        <f>IF(AND(C29="Normal uge 3",B29="to"),'Normal uger'!$AM$51,0)</f>
        <v>0</v>
      </c>
      <c r="CO29" s="361">
        <f>IF(AND(C29="Normal uge 3",B29="fr"),'Normal uger'!$AO$51,0)</f>
        <v>0</v>
      </c>
      <c r="CP29" s="362">
        <f>IF(AND(C29="Normal uge 4",B29="ma"),'Normal uger'!$AU$51,0)</f>
        <v>0</v>
      </c>
      <c r="CQ29" s="362">
        <f>IF(AND(C29="Normal uge 4",B29="ti"),'Normal uger'!$AW$51,0)</f>
        <v>0</v>
      </c>
      <c r="CR29" s="362">
        <f>IF(AND(C29="Normal uge 4",B29="on"),'Normal uger'!$AY$51,0)</f>
        <v>0</v>
      </c>
      <c r="CS29" s="362">
        <f>IF(AND(C29="Normal uge 4",B29="to"),'Normal uger'!$BA$51,0)</f>
        <v>0</v>
      </c>
      <c r="CT29" s="362">
        <f>IF(AND(C29="Normal uge 4",B29="fr"),'Normal uger'!$BC$51,0)</f>
        <v>0</v>
      </c>
      <c r="CU29" s="655">
        <f>IF(AND(C29="Normal uge 5",B29="ma"),'Normal uger'!$BI$51,0)</f>
        <v>0</v>
      </c>
      <c r="CV29" s="655">
        <f>IF(AND(C29="Normal uge 5",B29="ti"),'Normal uger'!$BK$51,0)</f>
        <v>0</v>
      </c>
      <c r="CW29" s="655">
        <f>IF(AND(C29="Normal uge 5",B29="on"),'Normal uger'!$BM$51,0)</f>
        <v>0</v>
      </c>
      <c r="CX29" s="655">
        <f>IF(AND(C29="Normal uge 5",B29="to"),'Normal uger'!$BO$51,0)</f>
        <v>0</v>
      </c>
      <c r="CY29" s="655">
        <f>IF(AND(C29="Normal uge 5",B29="fr"),'Normal uger'!$BQ$51,0)</f>
        <v>0</v>
      </c>
      <c r="CZ29" s="654">
        <f>IF(AND(C29="Normal uge 6",B29="ma"),'Normal uger'!$BW$51,0)</f>
        <v>0</v>
      </c>
      <c r="DA29" s="654">
        <f>IF(AND(C29="Normal uge 6",B29="ti"),'Normal uger'!$BY$51,0)</f>
        <v>0</v>
      </c>
      <c r="DB29" s="654">
        <f>IF(AND(C29="Normal uge 6",B29="on"),'Normal uger'!$CA$51,0)</f>
        <v>0</v>
      </c>
      <c r="DC29" s="654">
        <f>IF(AND(C29="Normal uge 6",B29="to"),'Normal uger'!$CC$51,0)</f>
        <v>0</v>
      </c>
      <c r="DD29" s="654">
        <f>IF(AND(C29="Normal uge 6",B29="fr"),'Normal uger'!$CE$51,0)</f>
        <v>0</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IF(ISNUMBER(A29),A29+1,1)</f>
        <v>16</v>
      </c>
      <c r="B30" s="72" t="str">
        <f t="shared" si="0"/>
        <v>to</v>
      </c>
      <c r="C30" s="73" t="s">
        <v>217</v>
      </c>
      <c r="D30" s="74" t="str">
        <f t="shared" si="1"/>
        <v/>
      </c>
      <c r="E30" s="858"/>
      <c r="F30" s="859"/>
      <c r="G30" s="860"/>
      <c r="H30" s="175"/>
      <c r="I30" s="221"/>
      <c r="J30" s="221"/>
      <c r="K30" s="191">
        <f t="shared" si="14"/>
        <v>0</v>
      </c>
      <c r="L30" s="191">
        <f t="shared" si="15"/>
        <v>0</v>
      </c>
      <c r="M30" s="238"/>
      <c r="N30" s="357"/>
      <c r="O30" s="408"/>
      <c r="P30" s="195"/>
      <c r="Q30" s="196"/>
      <c r="R30" s="196"/>
      <c r="S30" s="192"/>
      <c r="T30" s="255"/>
      <c r="U30" s="193"/>
      <c r="V30">
        <f t="shared" si="16"/>
        <v>0</v>
      </c>
      <c r="W30">
        <f t="shared" si="2"/>
        <v>0</v>
      </c>
      <c r="X30" s="358">
        <f t="shared" si="17"/>
        <v>0</v>
      </c>
      <c r="Y30" s="358">
        <f t="shared" si="18"/>
        <v>0</v>
      </c>
      <c r="Z30" s="358">
        <f t="shared" si="3"/>
        <v>0</v>
      </c>
      <c r="AA30" s="358">
        <f t="shared" si="19"/>
        <v>0</v>
      </c>
      <c r="AB30" s="358">
        <f t="shared" si="20"/>
        <v>0</v>
      </c>
      <c r="AC30" s="358">
        <f>IF(C30="Orlov",Stamoplysninger!$E$21*7.4,0)</f>
        <v>0</v>
      </c>
      <c r="AD30" s="358">
        <f>IF(C30="Rul 1",Rul!$E$46,0)</f>
        <v>0</v>
      </c>
      <c r="AE30" s="358">
        <f>IF(C30="Rul 2",Rul!$G$46,0)</f>
        <v>0</v>
      </c>
      <c r="AF30" s="358">
        <f>IF(C30="Rul 3",Rul!$I$46,0)</f>
        <v>0</v>
      </c>
      <c r="AG30" s="358">
        <f>IF(C30="Rul 4",Rul!$K$46,0)</f>
        <v>0</v>
      </c>
      <c r="AH30" s="358">
        <f>IF(C30="Rul 5",Rul!$M$46,0)</f>
        <v>0</v>
      </c>
      <c r="AI30" s="358">
        <f>IF(C30="Rul 6",Rul!$O$46,0)</f>
        <v>0</v>
      </c>
      <c r="AJ30" s="359">
        <f>IF(AND(C30="Normal uge 1",B30="ma"),'Normal uger'!$E$48,0)</f>
        <v>0</v>
      </c>
      <c r="AK30" s="359">
        <f>IF(AND(C30="Normal uge 1",B30="ti"),'Normal uger'!$G$48,0)</f>
        <v>0</v>
      </c>
      <c r="AL30" s="359">
        <f>IF(AND(C30="Normal uge 1",B30="on"),'Normal uger'!$I$48,0)</f>
        <v>0</v>
      </c>
      <c r="AM30" s="359">
        <f>IF(AND(C30="Normal uge 1",B30="to"),'Normal uger'!$K$48,0)</f>
        <v>0</v>
      </c>
      <c r="AN30" s="359">
        <f>IF(AND(C30="Normal uge 1",B30="fr"),'Normal uger'!$M$48,0)</f>
        <v>0</v>
      </c>
      <c r="AO30" s="360">
        <f>IF(AND(C30="Normal uge 2",B30="ma"),'Normal uger'!$S$48,0)</f>
        <v>0</v>
      </c>
      <c r="AP30" s="360">
        <f>IF(AND(C30="Normal uge 2",B30="ti"),'Normal uger'!$U$48,0)</f>
        <v>0</v>
      </c>
      <c r="AQ30" s="360">
        <f>IF(AND(C30="Normal uge 2",B30="on"),'Normal uger'!$W$48,0)</f>
        <v>0</v>
      </c>
      <c r="AR30" s="360">
        <f>IF(AND(C30="Normal uge 2",B30="to"),'Normal uger'!$Y$48,0)</f>
        <v>0</v>
      </c>
      <c r="AS30" s="360">
        <f>IF(AND(C30="Normal uge 2",B30="fr"),'Normal uger'!$AA$48,0)</f>
        <v>0</v>
      </c>
      <c r="AT30" s="361">
        <f>IF(AND(C30="Normal uge 3",B30="ma"),'Normal uger'!$AG$48,0)</f>
        <v>0</v>
      </c>
      <c r="AU30" s="361">
        <f>IF(AND(C30="Normal uge 3",B30="ti"),'Normal uger'!$AI$48,0)</f>
        <v>0</v>
      </c>
      <c r="AV30" s="361">
        <f>IF(AND(C30="Normal uge 3",B30="on"),'Normal uger'!$AK$48,0)</f>
        <v>0</v>
      </c>
      <c r="AW30" s="361">
        <f>IF(AND(C30="Normal uge 3",B30="to"),'Normal uger'!$AM$48,0)</f>
        <v>0</v>
      </c>
      <c r="AX30" s="361">
        <f>IF(AND(C30="Normal uge 3",B30="fr"),'Normal uger'!$AO$48,0)</f>
        <v>0</v>
      </c>
      <c r="AY30" s="362">
        <f>IF(AND(C30="Normal uge 4",B30="ma"),'Normal uger'!$AU$48,0)</f>
        <v>0</v>
      </c>
      <c r="AZ30" s="362">
        <f>IF(AND(C30="Normal uge 4",B30="ti"),'Normal uger'!$AW$48,0)</f>
        <v>0</v>
      </c>
      <c r="BA30" s="362">
        <f>IF(AND(C30="Normal uge 4",B30="on"),'Normal uger'!$AY$48,0)</f>
        <v>0</v>
      </c>
      <c r="BB30" s="362">
        <f>IF(AND(C30="Normal uge 4",B30="to"),'Normal uger'!$BA$48,0)</f>
        <v>0</v>
      </c>
      <c r="BC30" s="362">
        <f>IF(AND(C30="Normal uge 4",B30="fr"),'Normal uger'!$BC$48,0)</f>
        <v>0</v>
      </c>
      <c r="BD30" s="655">
        <f>IF(AND(C30="Normal uge 5",B30="ma"),'Normal uger'!$BI$48,0)</f>
        <v>0</v>
      </c>
      <c r="BE30" s="655">
        <f>IF(AND(C30="Normal uge 5",B30="ti"),'Normal uger'!$BK$48,0)</f>
        <v>0</v>
      </c>
      <c r="BF30" s="655">
        <f>IF(AND(C30="Normal uge 5",B30="on"),'Normal uger'!$BM$48,0)</f>
        <v>0</v>
      </c>
      <c r="BG30" s="655">
        <f>IF(AND(C30="Normal uge 5",B30="to"),'Normal uger'!$BO$48,0)</f>
        <v>0</v>
      </c>
      <c r="BH30" s="655">
        <f>IF(AND(C30="Normal uge 5",B30="fr"),'Normal uger'!$BQ$48,0)</f>
        <v>0</v>
      </c>
      <c r="BI30" s="654">
        <f>IF(AND(C30="Normal uge 6",B30="ma"),'Normal uger'!$BW$48,0)</f>
        <v>0</v>
      </c>
      <c r="BJ30" s="654">
        <f>IF(AND(C30="Normal uge 6",B30="ti"),'Normal uger'!$BY$48,0)</f>
        <v>0</v>
      </c>
      <c r="BK30" s="654">
        <f>IF(AND(C30="Normal uge 6",B30="on"),'Normal uger'!$CA$48,0)</f>
        <v>0</v>
      </c>
      <c r="BL30" s="654">
        <f>IF(AND(C30="Normal uge 6",B30="to"),'Normal uger'!$CC$48,0)</f>
        <v>0</v>
      </c>
      <c r="BM30" s="654">
        <f>IF(AND(C30="Normal uge 6",B30="fr"),'Normal uger'!$CE$48,0)</f>
        <v>0</v>
      </c>
      <c r="BN30" s="1">
        <f t="shared" si="21"/>
        <v>0</v>
      </c>
      <c r="BO30" s="125">
        <f t="shared" si="4"/>
        <v>0</v>
      </c>
      <c r="BP30" s="358">
        <f t="shared" si="5"/>
        <v>0</v>
      </c>
      <c r="BQ30" s="358">
        <f t="shared" si="22"/>
        <v>0</v>
      </c>
      <c r="BR30" s="358">
        <f t="shared" si="6"/>
        <v>0</v>
      </c>
      <c r="BS30" s="358">
        <f t="shared" si="7"/>
        <v>0</v>
      </c>
      <c r="BT30" s="358">
        <f t="shared" si="8"/>
        <v>0</v>
      </c>
      <c r="BU30" s="358">
        <f>IF(C30="Rul 1",Rul!$E$49,0)</f>
        <v>0</v>
      </c>
      <c r="BV30" s="358">
        <f>IF(C30="Rul 2",Rul!$G$49,0)</f>
        <v>0</v>
      </c>
      <c r="BW30" s="358">
        <f>IF(C30="Rul 3",Rul!$I$49,0)</f>
        <v>0</v>
      </c>
      <c r="BX30" s="358">
        <f>IF(C30="Rul 4",Rul!$K$49,0)</f>
        <v>0</v>
      </c>
      <c r="BY30" s="358">
        <f>IF(C30="Rul 5",Rul!$M$49,0)</f>
        <v>0</v>
      </c>
      <c r="BZ30" s="358">
        <f>IF(C30="Rul 6",Rul!$O$49,0)</f>
        <v>0</v>
      </c>
      <c r="CA30" s="359">
        <f>IF(AND(C30="Normal uge 1",B30="ma"),'Normal uger'!$E$51,0)</f>
        <v>0</v>
      </c>
      <c r="CB30" s="359">
        <f>IF(AND(C30="Normal uge 1",B30="ti"),'Normal uger'!$G$51,0)</f>
        <v>0</v>
      </c>
      <c r="CC30" s="359">
        <f>IF(AND(C30="Normal uge 1",B30="on"),'Normal uger'!$I$51,0)</f>
        <v>0</v>
      </c>
      <c r="CD30" s="359">
        <f>IF(AND(C30="Normal uge 1",B30="to"),'Normal uger'!$K$51,0)</f>
        <v>0</v>
      </c>
      <c r="CE30" s="359">
        <f>IF(AND(C30="Normal uge 1",B30="fr"),'Normal uger'!$M$51,0)</f>
        <v>0</v>
      </c>
      <c r="CF30" s="360">
        <f>IF(AND(C30="Normal uge 2",B30="ma"),'Normal uger'!$S$51,0)</f>
        <v>0</v>
      </c>
      <c r="CG30" s="360">
        <f>IF(AND(C30="Normal uge 2",B30="ti"),'Normal uger'!$U$51,0)</f>
        <v>0</v>
      </c>
      <c r="CH30" s="360">
        <f>IF(AND(C30="Normal uge 2",B30="on"),'Normal uger'!$W$51,0)</f>
        <v>0</v>
      </c>
      <c r="CI30" s="360">
        <f>IF(AND(C30="Normal uge 2",B30="to"),'Normal uger'!$Y$51,0)</f>
        <v>0</v>
      </c>
      <c r="CJ30" s="360">
        <f>IF(AND(C30="Normal uge 2",B30="fr"),'Normal uger'!$AA$51,0)</f>
        <v>0</v>
      </c>
      <c r="CK30" s="361">
        <f>IF(AND(C30="Normal uge 3",B30="ma"),'Normal uger'!$AG$51,0)</f>
        <v>0</v>
      </c>
      <c r="CL30" s="361">
        <f>IF(AND(C30="Normal uge 3",B30="ti"),'Normal uger'!$AI$51,0)</f>
        <v>0</v>
      </c>
      <c r="CM30" s="361">
        <f>IF(AND(C30="Normal uge 3",B30="on"),'Normal uger'!$AK$51,0)</f>
        <v>0</v>
      </c>
      <c r="CN30" s="361">
        <f>IF(AND(C30="Normal uge 3",B30="to"),'Normal uger'!$AM$51,0)</f>
        <v>0</v>
      </c>
      <c r="CO30" s="361">
        <f>IF(AND(C30="Normal uge 3",B30="fr"),'Normal uger'!$AO$51,0)</f>
        <v>0</v>
      </c>
      <c r="CP30" s="362">
        <f>IF(AND(C30="Normal uge 4",B30="ma"),'Normal uger'!$AU$51,0)</f>
        <v>0</v>
      </c>
      <c r="CQ30" s="362">
        <f>IF(AND(C30="Normal uge 4",B30="ti"),'Normal uger'!$AW$51,0)</f>
        <v>0</v>
      </c>
      <c r="CR30" s="362">
        <f>IF(AND(C30="Normal uge 4",B30="on"),'Normal uger'!$AY$51,0)</f>
        <v>0</v>
      </c>
      <c r="CS30" s="362">
        <f>IF(AND(C30="Normal uge 4",B30="to"),'Normal uger'!$BA$51,0)</f>
        <v>0</v>
      </c>
      <c r="CT30" s="362">
        <f>IF(AND(C30="Normal uge 4",B30="fr"),'Normal uger'!$BC$51,0)</f>
        <v>0</v>
      </c>
      <c r="CU30" s="655">
        <f>IF(AND(C30="Normal uge 5",B30="ma"),'Normal uger'!$BI$51,0)</f>
        <v>0</v>
      </c>
      <c r="CV30" s="655">
        <f>IF(AND(C30="Normal uge 5",B30="ti"),'Normal uger'!$BK$51,0)</f>
        <v>0</v>
      </c>
      <c r="CW30" s="655">
        <f>IF(AND(C30="Normal uge 5",B30="on"),'Normal uger'!$BM$51,0)</f>
        <v>0</v>
      </c>
      <c r="CX30" s="655">
        <f>IF(AND(C30="Normal uge 5",B30="to"),'Normal uger'!$BO$51,0)</f>
        <v>0</v>
      </c>
      <c r="CY30" s="655">
        <f>IF(AND(C30="Normal uge 5",B30="fr"),'Normal uger'!$BQ$51,0)</f>
        <v>0</v>
      </c>
      <c r="CZ30" s="654">
        <f>IF(AND(C30="Normal uge 6",B30="ma"),'Normal uger'!$BW$51,0)</f>
        <v>0</v>
      </c>
      <c r="DA30" s="654">
        <f>IF(AND(C30="Normal uge 6",B30="ti"),'Normal uger'!$BY$51,0)</f>
        <v>0</v>
      </c>
      <c r="DB30" s="654">
        <f>IF(AND(C30="Normal uge 6",B30="on"),'Normal uger'!$CA$51,0)</f>
        <v>0</v>
      </c>
      <c r="DC30" s="654">
        <f>IF(AND(C30="Normal uge 6",B30="to"),'Normal uger'!$CC$51,0)</f>
        <v>0</v>
      </c>
      <c r="DD30" s="654">
        <f>IF(AND(C30="Normal uge 6",B30="fr"),'Normal uger'!$CE$51,0)</f>
        <v>0</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17</v>
      </c>
      <c r="B31" s="72" t="str">
        <f t="shared" si="0"/>
        <v>fr</v>
      </c>
      <c r="C31" s="73" t="s">
        <v>217</v>
      </c>
      <c r="D31" s="74" t="str">
        <f t="shared" si="1"/>
        <v/>
      </c>
      <c r="E31" s="858"/>
      <c r="F31" s="859"/>
      <c r="G31" s="860"/>
      <c r="H31" s="175"/>
      <c r="I31" s="221"/>
      <c r="J31" s="221"/>
      <c r="K31" s="191">
        <f t="shared" si="14"/>
        <v>0</v>
      </c>
      <c r="L31" s="191">
        <f t="shared" si="15"/>
        <v>0</v>
      </c>
      <c r="M31" s="238"/>
      <c r="N31" s="357"/>
      <c r="O31" s="408"/>
      <c r="P31" s="195"/>
      <c r="Q31" s="196"/>
      <c r="R31" s="196"/>
      <c r="S31" s="192"/>
      <c r="T31" s="255"/>
      <c r="U31" s="193"/>
      <c r="V31">
        <f t="shared" si="16"/>
        <v>0</v>
      </c>
      <c r="W31">
        <f t="shared" si="2"/>
        <v>0</v>
      </c>
      <c r="X31" s="358">
        <f t="shared" si="17"/>
        <v>0</v>
      </c>
      <c r="Y31" s="358">
        <f t="shared" si="18"/>
        <v>0</v>
      </c>
      <c r="Z31" s="358">
        <f t="shared" si="3"/>
        <v>0</v>
      </c>
      <c r="AA31" s="358">
        <f t="shared" si="19"/>
        <v>0</v>
      </c>
      <c r="AB31" s="358">
        <f t="shared" si="20"/>
        <v>0</v>
      </c>
      <c r="AC31" s="358">
        <f>IF(C31="Orlov",Stamoplysninger!$E$21*7.4,0)</f>
        <v>0</v>
      </c>
      <c r="AD31" s="358">
        <f>IF(C31="Rul 1",Rul!$E$46,0)</f>
        <v>0</v>
      </c>
      <c r="AE31" s="358">
        <f>IF(C31="Rul 2",Rul!$G$46,0)</f>
        <v>0</v>
      </c>
      <c r="AF31" s="358">
        <f>IF(C31="Rul 3",Rul!$I$46,0)</f>
        <v>0</v>
      </c>
      <c r="AG31" s="358">
        <f>IF(C31="Rul 4",Rul!$K$46,0)</f>
        <v>0</v>
      </c>
      <c r="AH31" s="358">
        <f>IF(C31="Rul 5",Rul!$M$46,0)</f>
        <v>0</v>
      </c>
      <c r="AI31" s="358">
        <f>IF(C31="Rul 6",Rul!$O$46,0)</f>
        <v>0</v>
      </c>
      <c r="AJ31" s="359">
        <f>IF(AND(C31="Normal uge 1",B31="ma"),'Normal uger'!$E$48,0)</f>
        <v>0</v>
      </c>
      <c r="AK31" s="359">
        <f>IF(AND(C31="Normal uge 1",B31="ti"),'Normal uger'!$G$48,0)</f>
        <v>0</v>
      </c>
      <c r="AL31" s="359">
        <f>IF(AND(C31="Normal uge 1",B31="on"),'Normal uger'!$I$48,0)</f>
        <v>0</v>
      </c>
      <c r="AM31" s="359">
        <f>IF(AND(C31="Normal uge 1",B31="to"),'Normal uger'!$K$48,0)</f>
        <v>0</v>
      </c>
      <c r="AN31" s="359">
        <f>IF(AND(C31="Normal uge 1",B31="fr"),'Normal uger'!$M$48,0)</f>
        <v>0</v>
      </c>
      <c r="AO31" s="360">
        <f>IF(AND(C31="Normal uge 2",B31="ma"),'Normal uger'!$S$48,0)</f>
        <v>0</v>
      </c>
      <c r="AP31" s="360">
        <f>IF(AND(C31="Normal uge 2",B31="ti"),'Normal uger'!$U$48,0)</f>
        <v>0</v>
      </c>
      <c r="AQ31" s="360">
        <f>IF(AND(C31="Normal uge 2",B31="on"),'Normal uger'!$W$48,0)</f>
        <v>0</v>
      </c>
      <c r="AR31" s="360">
        <f>IF(AND(C31="Normal uge 2",B31="to"),'Normal uger'!$Y$48,0)</f>
        <v>0</v>
      </c>
      <c r="AS31" s="360">
        <f>IF(AND(C31="Normal uge 2",B31="fr"),'Normal uger'!$AA$48,0)</f>
        <v>0</v>
      </c>
      <c r="AT31" s="361">
        <f>IF(AND(C31="Normal uge 3",B31="ma"),'Normal uger'!$AG$48,0)</f>
        <v>0</v>
      </c>
      <c r="AU31" s="361">
        <f>IF(AND(C31="Normal uge 3",B31="ti"),'Normal uger'!$AI$48,0)</f>
        <v>0</v>
      </c>
      <c r="AV31" s="361">
        <f>IF(AND(C31="Normal uge 3",B31="on"),'Normal uger'!$AK$48,0)</f>
        <v>0</v>
      </c>
      <c r="AW31" s="361">
        <f>IF(AND(C31="Normal uge 3",B31="to"),'Normal uger'!$AM$48,0)</f>
        <v>0</v>
      </c>
      <c r="AX31" s="361">
        <f>IF(AND(C31="Normal uge 3",B31="fr"),'Normal uger'!$AO$48,0)</f>
        <v>0</v>
      </c>
      <c r="AY31" s="362">
        <f>IF(AND(C31="Normal uge 4",B31="ma"),'Normal uger'!$AU$48,0)</f>
        <v>0</v>
      </c>
      <c r="AZ31" s="362">
        <f>IF(AND(C31="Normal uge 4",B31="ti"),'Normal uger'!$AW$48,0)</f>
        <v>0</v>
      </c>
      <c r="BA31" s="362">
        <f>IF(AND(C31="Normal uge 4",B31="on"),'Normal uger'!$AY$48,0)</f>
        <v>0</v>
      </c>
      <c r="BB31" s="362">
        <f>IF(AND(C31="Normal uge 4",B31="to"),'Normal uger'!$BA$48,0)</f>
        <v>0</v>
      </c>
      <c r="BC31" s="362">
        <f>IF(AND(C31="Normal uge 4",B31="fr"),'Normal uger'!$BC$48,0)</f>
        <v>0</v>
      </c>
      <c r="BD31" s="655">
        <f>IF(AND(C31="Normal uge 5",B31="ma"),'Normal uger'!$BI$48,0)</f>
        <v>0</v>
      </c>
      <c r="BE31" s="655">
        <f>IF(AND(C31="Normal uge 5",B31="ti"),'Normal uger'!$BK$48,0)</f>
        <v>0</v>
      </c>
      <c r="BF31" s="655">
        <f>IF(AND(C31="Normal uge 5",B31="on"),'Normal uger'!$BM$48,0)</f>
        <v>0</v>
      </c>
      <c r="BG31" s="655">
        <f>IF(AND(C31="Normal uge 5",B31="to"),'Normal uger'!$BO$48,0)</f>
        <v>0</v>
      </c>
      <c r="BH31" s="655">
        <f>IF(AND(C31="Normal uge 5",B31="fr"),'Normal uger'!$BQ$48,0)</f>
        <v>0</v>
      </c>
      <c r="BI31" s="654">
        <f>IF(AND(C31="Normal uge 6",B31="ma"),'Normal uger'!$BW$48,0)</f>
        <v>0</v>
      </c>
      <c r="BJ31" s="654">
        <f>IF(AND(C31="Normal uge 6",B31="ti"),'Normal uger'!$BY$48,0)</f>
        <v>0</v>
      </c>
      <c r="BK31" s="654">
        <f>IF(AND(C31="Normal uge 6",B31="on"),'Normal uger'!$CA$48,0)</f>
        <v>0</v>
      </c>
      <c r="BL31" s="654">
        <f>IF(AND(C31="Normal uge 6",B31="to"),'Normal uger'!$CC$48,0)</f>
        <v>0</v>
      </c>
      <c r="BM31" s="654">
        <f>IF(AND(C31="Normal uge 6",B31="fr"),'Normal uger'!$CE$48,0)</f>
        <v>0</v>
      </c>
      <c r="BN31" s="1">
        <f t="shared" si="21"/>
        <v>0</v>
      </c>
      <c r="BO31" s="125">
        <f t="shared" si="4"/>
        <v>0</v>
      </c>
      <c r="BP31" s="358">
        <f t="shared" si="5"/>
        <v>0</v>
      </c>
      <c r="BQ31" s="358">
        <f t="shared" si="22"/>
        <v>0</v>
      </c>
      <c r="BR31" s="358">
        <f t="shared" si="6"/>
        <v>0</v>
      </c>
      <c r="BS31" s="358">
        <f t="shared" si="7"/>
        <v>0</v>
      </c>
      <c r="BT31" s="358">
        <f t="shared" si="8"/>
        <v>0</v>
      </c>
      <c r="BU31" s="358">
        <f>IF(C31="Rul 1",Rul!$E$49,0)</f>
        <v>0</v>
      </c>
      <c r="BV31" s="358">
        <f>IF(C31="Rul 2",Rul!$G$49,0)</f>
        <v>0</v>
      </c>
      <c r="BW31" s="358">
        <f>IF(C31="Rul 3",Rul!$I$49,0)</f>
        <v>0</v>
      </c>
      <c r="BX31" s="358">
        <f>IF(C31="Rul 4",Rul!$K$49,0)</f>
        <v>0</v>
      </c>
      <c r="BY31" s="358">
        <f>IF(C31="Rul 5",Rul!$M$49,0)</f>
        <v>0</v>
      </c>
      <c r="BZ31" s="358">
        <f>IF(C31="Rul 6",Rul!$O$49,0)</f>
        <v>0</v>
      </c>
      <c r="CA31" s="359">
        <f>IF(AND(C31="Normal uge 1",B31="ma"),'Normal uger'!$E$51,0)</f>
        <v>0</v>
      </c>
      <c r="CB31" s="359">
        <f>IF(AND(C31="Normal uge 1",B31="ti"),'Normal uger'!$G$51,0)</f>
        <v>0</v>
      </c>
      <c r="CC31" s="359">
        <f>IF(AND(C31="Normal uge 1",B31="on"),'Normal uger'!$I$51,0)</f>
        <v>0</v>
      </c>
      <c r="CD31" s="359">
        <f>IF(AND(C31="Normal uge 1",B31="to"),'Normal uger'!$K$51,0)</f>
        <v>0</v>
      </c>
      <c r="CE31" s="359">
        <f>IF(AND(C31="Normal uge 1",B31="fr"),'Normal uger'!$M$51,0)</f>
        <v>0</v>
      </c>
      <c r="CF31" s="360">
        <f>IF(AND(C31="Normal uge 2",B31="ma"),'Normal uger'!$S$51,0)</f>
        <v>0</v>
      </c>
      <c r="CG31" s="360">
        <f>IF(AND(C31="Normal uge 2",B31="ti"),'Normal uger'!$U$51,0)</f>
        <v>0</v>
      </c>
      <c r="CH31" s="360">
        <f>IF(AND(C31="Normal uge 2",B31="on"),'Normal uger'!$W$51,0)</f>
        <v>0</v>
      </c>
      <c r="CI31" s="360">
        <f>IF(AND(C31="Normal uge 2",B31="to"),'Normal uger'!$Y$51,0)</f>
        <v>0</v>
      </c>
      <c r="CJ31" s="360">
        <f>IF(AND(C31="Normal uge 2",B31="fr"),'Normal uger'!$AA$51,0)</f>
        <v>0</v>
      </c>
      <c r="CK31" s="361">
        <f>IF(AND(C31="Normal uge 3",B31="ma"),'Normal uger'!$AG$51,0)</f>
        <v>0</v>
      </c>
      <c r="CL31" s="361">
        <f>IF(AND(C31="Normal uge 3",B31="ti"),'Normal uger'!$AI$51,0)</f>
        <v>0</v>
      </c>
      <c r="CM31" s="361">
        <f>IF(AND(C31="Normal uge 3",B31="on"),'Normal uger'!$AK$51,0)</f>
        <v>0</v>
      </c>
      <c r="CN31" s="361">
        <f>IF(AND(C31="Normal uge 3",B31="to"),'Normal uger'!$AM$51,0)</f>
        <v>0</v>
      </c>
      <c r="CO31" s="361">
        <f>IF(AND(C31="Normal uge 3",B31="fr"),'Normal uger'!$AO$51,0)</f>
        <v>0</v>
      </c>
      <c r="CP31" s="362">
        <f>IF(AND(C31="Normal uge 4",B31="ma"),'Normal uger'!$AU$51,0)</f>
        <v>0</v>
      </c>
      <c r="CQ31" s="362">
        <f>IF(AND(C31="Normal uge 4",B31="ti"),'Normal uger'!$AW$51,0)</f>
        <v>0</v>
      </c>
      <c r="CR31" s="362">
        <f>IF(AND(C31="Normal uge 4",B31="on"),'Normal uger'!$AY$51,0)</f>
        <v>0</v>
      </c>
      <c r="CS31" s="362">
        <f>IF(AND(C31="Normal uge 4",B31="to"),'Normal uger'!$BA$51,0)</f>
        <v>0</v>
      </c>
      <c r="CT31" s="362">
        <f>IF(AND(C31="Normal uge 4",B31="fr"),'Normal uger'!$BC$51,0)</f>
        <v>0</v>
      </c>
      <c r="CU31" s="655">
        <f>IF(AND(C31="Normal uge 5",B31="ma"),'Normal uger'!$BI$51,0)</f>
        <v>0</v>
      </c>
      <c r="CV31" s="655">
        <f>IF(AND(C31="Normal uge 5",B31="ti"),'Normal uger'!$BK$51,0)</f>
        <v>0</v>
      </c>
      <c r="CW31" s="655">
        <f>IF(AND(C31="Normal uge 5",B31="on"),'Normal uger'!$BM$51,0)</f>
        <v>0</v>
      </c>
      <c r="CX31" s="655">
        <f>IF(AND(C31="Normal uge 5",B31="to"),'Normal uger'!$BO$51,0)</f>
        <v>0</v>
      </c>
      <c r="CY31" s="655">
        <f>IF(AND(C31="Normal uge 5",B31="fr"),'Normal uger'!$BQ$51,0)</f>
        <v>0</v>
      </c>
      <c r="CZ31" s="654">
        <f>IF(AND(C31="Normal uge 6",B31="ma"),'Normal uger'!$BW$51,0)</f>
        <v>0</v>
      </c>
      <c r="DA31" s="654">
        <f>IF(AND(C31="Normal uge 6",B31="ti"),'Normal uger'!$BY$51,0)</f>
        <v>0</v>
      </c>
      <c r="DB31" s="654">
        <f>IF(AND(C31="Normal uge 6",B31="on"),'Normal uger'!$CA$51,0)</f>
        <v>0</v>
      </c>
      <c r="DC31" s="654">
        <f>IF(AND(C31="Normal uge 6",B31="to"),'Normal uger'!$CC$51,0)</f>
        <v>0</v>
      </c>
      <c r="DD31" s="654">
        <f>IF(AND(C31="Normal uge 6",B31="fr"),'Normal uger'!$CE$51,0)</f>
        <v>0</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18</v>
      </c>
      <c r="B32" s="72" t="str">
        <f t="shared" si="0"/>
        <v>lø</v>
      </c>
      <c r="C32" s="73" t="s">
        <v>77</v>
      </c>
      <c r="D32" s="74" t="str">
        <f t="shared" si="1"/>
        <v/>
      </c>
      <c r="E32" s="858"/>
      <c r="F32" s="859"/>
      <c r="G32" s="860"/>
      <c r="H32" s="175"/>
      <c r="I32" s="221"/>
      <c r="J32" s="221"/>
      <c r="K32" s="191">
        <f t="shared" si="14"/>
        <v>0</v>
      </c>
      <c r="L32" s="191">
        <f t="shared" si="15"/>
        <v>0</v>
      </c>
      <c r="M32" s="238"/>
      <c r="N32" s="357"/>
      <c r="O32" s="408"/>
      <c r="P32" s="195"/>
      <c r="Q32" s="196"/>
      <c r="R32" s="196"/>
      <c r="S32" s="192"/>
      <c r="T32" s="255"/>
      <c r="U32" s="193"/>
      <c r="V32">
        <f t="shared" si="16"/>
        <v>0</v>
      </c>
      <c r="W32">
        <f t="shared" si="2"/>
        <v>0</v>
      </c>
      <c r="X32" s="358">
        <f t="shared" si="17"/>
        <v>0</v>
      </c>
      <c r="Y32" s="358">
        <f t="shared" si="18"/>
        <v>0</v>
      </c>
      <c r="Z32" s="358">
        <f t="shared" si="3"/>
        <v>0</v>
      </c>
      <c r="AA32" s="358">
        <f t="shared" si="19"/>
        <v>0</v>
      </c>
      <c r="AB32" s="358">
        <f t="shared" si="20"/>
        <v>0</v>
      </c>
      <c r="AC32" s="358">
        <f>IF(C32="Orlov",Stamoplysninger!$E$21*7.4,0)</f>
        <v>0</v>
      </c>
      <c r="AD32" s="358">
        <f>IF(C32="Rul 1",Rul!$E$46,0)</f>
        <v>0</v>
      </c>
      <c r="AE32" s="358">
        <f>IF(C32="Rul 2",Rul!$G$46,0)</f>
        <v>0</v>
      </c>
      <c r="AF32" s="358">
        <f>IF(C32="Rul 3",Rul!$I$46,0)</f>
        <v>0</v>
      </c>
      <c r="AG32" s="358">
        <f>IF(C32="Rul 4",Rul!$K$46,0)</f>
        <v>0</v>
      </c>
      <c r="AH32" s="358">
        <f>IF(C32="Rul 5",Rul!$M$46,0)</f>
        <v>0</v>
      </c>
      <c r="AI32" s="358">
        <f>IF(C32="Rul 6",Rul!$O$46,0)</f>
        <v>0</v>
      </c>
      <c r="AJ32" s="359">
        <f>IF(AND(C32="Normal uge 1",B32="ma"),'Normal uger'!$E$48,0)</f>
        <v>0</v>
      </c>
      <c r="AK32" s="359">
        <f>IF(AND(C32="Normal uge 1",B32="ti"),'Normal uger'!$G$48,0)</f>
        <v>0</v>
      </c>
      <c r="AL32" s="359">
        <f>IF(AND(C32="Normal uge 1",B32="on"),'Normal uger'!$I$48,0)</f>
        <v>0</v>
      </c>
      <c r="AM32" s="359">
        <f>IF(AND(C32="Normal uge 1",B32="to"),'Normal uger'!$K$48,0)</f>
        <v>0</v>
      </c>
      <c r="AN32" s="359">
        <f>IF(AND(C32="Normal uge 1",B32="fr"),'Normal uger'!$M$48,0)</f>
        <v>0</v>
      </c>
      <c r="AO32" s="360">
        <f>IF(AND(C32="Normal uge 2",B32="ma"),'Normal uger'!$S$48,0)</f>
        <v>0</v>
      </c>
      <c r="AP32" s="360">
        <f>IF(AND(C32="Normal uge 2",B32="ti"),'Normal uger'!$U$48,0)</f>
        <v>0</v>
      </c>
      <c r="AQ32" s="360">
        <f>IF(AND(C32="Normal uge 2",B32="on"),'Normal uger'!$W$48,0)</f>
        <v>0</v>
      </c>
      <c r="AR32" s="360">
        <f>IF(AND(C32="Normal uge 2",B32="to"),'Normal uger'!$Y$48,0)</f>
        <v>0</v>
      </c>
      <c r="AS32" s="360">
        <f>IF(AND(C32="Normal uge 2",B32="fr"),'Normal uger'!$AA$48,0)</f>
        <v>0</v>
      </c>
      <c r="AT32" s="361">
        <f>IF(AND(C32="Normal uge 3",B32="ma"),'Normal uger'!$AG$48,0)</f>
        <v>0</v>
      </c>
      <c r="AU32" s="361">
        <f>IF(AND(C32="Normal uge 3",B32="ti"),'Normal uger'!$AI$48,0)</f>
        <v>0</v>
      </c>
      <c r="AV32" s="361">
        <f>IF(AND(C32="Normal uge 3",B32="on"),'Normal uger'!$AK$48,0)</f>
        <v>0</v>
      </c>
      <c r="AW32" s="361">
        <f>IF(AND(C32="Normal uge 3",B32="to"),'Normal uger'!$AM$48,0)</f>
        <v>0</v>
      </c>
      <c r="AX32" s="361">
        <f>IF(AND(C32="Normal uge 3",B32="fr"),'Normal uger'!$AO$48,0)</f>
        <v>0</v>
      </c>
      <c r="AY32" s="362">
        <f>IF(AND(C32="Normal uge 4",B32="ma"),'Normal uger'!$AU$48,0)</f>
        <v>0</v>
      </c>
      <c r="AZ32" s="362">
        <f>IF(AND(C32="Normal uge 4",B32="ti"),'Normal uger'!$AW$48,0)</f>
        <v>0</v>
      </c>
      <c r="BA32" s="362">
        <f>IF(AND(C32="Normal uge 4",B32="on"),'Normal uger'!$AY$48,0)</f>
        <v>0</v>
      </c>
      <c r="BB32" s="362">
        <f>IF(AND(C32="Normal uge 4",B32="to"),'Normal uger'!$BA$48,0)</f>
        <v>0</v>
      </c>
      <c r="BC32" s="362">
        <f>IF(AND(C32="Normal uge 4",B32="fr"),'Normal uger'!$BC$48,0)</f>
        <v>0</v>
      </c>
      <c r="BD32" s="655">
        <f>IF(AND(C32="Normal uge 5",B32="ma"),'Normal uger'!$BI$48,0)</f>
        <v>0</v>
      </c>
      <c r="BE32" s="655">
        <f>IF(AND(C32="Normal uge 5",B32="ti"),'Normal uger'!$BK$48,0)</f>
        <v>0</v>
      </c>
      <c r="BF32" s="655">
        <f>IF(AND(C32="Normal uge 5",B32="on"),'Normal uger'!$BM$48,0)</f>
        <v>0</v>
      </c>
      <c r="BG32" s="655">
        <f>IF(AND(C32="Normal uge 5",B32="to"),'Normal uger'!$BO$48,0)</f>
        <v>0</v>
      </c>
      <c r="BH32" s="655">
        <f>IF(AND(C32="Normal uge 5",B32="fr"),'Normal uger'!$BQ$48,0)</f>
        <v>0</v>
      </c>
      <c r="BI32" s="654">
        <f>IF(AND(C32="Normal uge 6",B32="ma"),'Normal uger'!$BW$48,0)</f>
        <v>0</v>
      </c>
      <c r="BJ32" s="654">
        <f>IF(AND(C32="Normal uge 6",B32="ti"),'Normal uger'!$BY$48,0)</f>
        <v>0</v>
      </c>
      <c r="BK32" s="654">
        <f>IF(AND(C32="Normal uge 6",B32="on"),'Normal uger'!$CA$48,0)</f>
        <v>0</v>
      </c>
      <c r="BL32" s="654">
        <f>IF(AND(C32="Normal uge 6",B32="to"),'Normal uger'!$CC$48,0)</f>
        <v>0</v>
      </c>
      <c r="BM32" s="654">
        <f>IF(AND(C32="Normal uge 6",B32="fr"),'Normal uger'!$CE$48,0)</f>
        <v>0</v>
      </c>
      <c r="BN32" s="1">
        <f t="shared" si="21"/>
        <v>0</v>
      </c>
      <c r="BO32" s="125">
        <f t="shared" si="4"/>
        <v>0</v>
      </c>
      <c r="BP32" s="358">
        <f t="shared" si="5"/>
        <v>0</v>
      </c>
      <c r="BQ32" s="358">
        <f t="shared" si="22"/>
        <v>0</v>
      </c>
      <c r="BR32" s="358">
        <f t="shared" si="6"/>
        <v>0</v>
      </c>
      <c r="BS32" s="358">
        <f t="shared" si="7"/>
        <v>0</v>
      </c>
      <c r="BT32" s="358">
        <f t="shared" si="8"/>
        <v>0</v>
      </c>
      <c r="BU32" s="358">
        <f>IF(C32="Rul 1",Rul!$E$49,0)</f>
        <v>0</v>
      </c>
      <c r="BV32" s="358">
        <f>IF(C32="Rul 2",Rul!$G$49,0)</f>
        <v>0</v>
      </c>
      <c r="BW32" s="358">
        <f>IF(C32="Rul 3",Rul!$I$49,0)</f>
        <v>0</v>
      </c>
      <c r="BX32" s="358">
        <f>IF(C32="Rul 4",Rul!$K$49,0)</f>
        <v>0</v>
      </c>
      <c r="BY32" s="358">
        <f>IF(C32="Rul 5",Rul!$M$49,0)</f>
        <v>0</v>
      </c>
      <c r="BZ32" s="358">
        <f>IF(C32="Rul 6",Rul!$O$49,0)</f>
        <v>0</v>
      </c>
      <c r="CA32" s="359">
        <f>IF(AND(C32="Normal uge 1",B32="ma"),'Normal uger'!$E$51,0)</f>
        <v>0</v>
      </c>
      <c r="CB32" s="359">
        <f>IF(AND(C32="Normal uge 1",B32="ti"),'Normal uger'!$G$51,0)</f>
        <v>0</v>
      </c>
      <c r="CC32" s="359">
        <f>IF(AND(C32="Normal uge 1",B32="on"),'Normal uger'!$I$51,0)</f>
        <v>0</v>
      </c>
      <c r="CD32" s="359">
        <f>IF(AND(C32="Normal uge 1",B32="to"),'Normal uger'!$K$51,0)</f>
        <v>0</v>
      </c>
      <c r="CE32" s="359">
        <f>IF(AND(C32="Normal uge 1",B32="fr"),'Normal uger'!$M$51,0)</f>
        <v>0</v>
      </c>
      <c r="CF32" s="360">
        <f>IF(AND(C32="Normal uge 2",B32="ma"),'Normal uger'!$S$51,0)</f>
        <v>0</v>
      </c>
      <c r="CG32" s="360">
        <f>IF(AND(C32="Normal uge 2",B32="ti"),'Normal uger'!$U$51,0)</f>
        <v>0</v>
      </c>
      <c r="CH32" s="360">
        <f>IF(AND(C32="Normal uge 2",B32="on"),'Normal uger'!$W$51,0)</f>
        <v>0</v>
      </c>
      <c r="CI32" s="360">
        <f>IF(AND(C32="Normal uge 2",B32="to"),'Normal uger'!$Y$51,0)</f>
        <v>0</v>
      </c>
      <c r="CJ32" s="360">
        <f>IF(AND(C32="Normal uge 2",B32="fr"),'Normal uger'!$AA$51,0)</f>
        <v>0</v>
      </c>
      <c r="CK32" s="361">
        <f>IF(AND(C32="Normal uge 3",B32="ma"),'Normal uger'!$AG$51,0)</f>
        <v>0</v>
      </c>
      <c r="CL32" s="361">
        <f>IF(AND(C32="Normal uge 3",B32="ti"),'Normal uger'!$AI$51,0)</f>
        <v>0</v>
      </c>
      <c r="CM32" s="361">
        <f>IF(AND(C32="Normal uge 3",B32="on"),'Normal uger'!$AK$51,0)</f>
        <v>0</v>
      </c>
      <c r="CN32" s="361">
        <f>IF(AND(C32="Normal uge 3",B32="to"),'Normal uger'!$AM$51,0)</f>
        <v>0</v>
      </c>
      <c r="CO32" s="361">
        <f>IF(AND(C32="Normal uge 3",B32="fr"),'Normal uger'!$AO$51,0)</f>
        <v>0</v>
      </c>
      <c r="CP32" s="362">
        <f>IF(AND(C32="Normal uge 4",B32="ma"),'Normal uger'!$AU$51,0)</f>
        <v>0</v>
      </c>
      <c r="CQ32" s="362">
        <f>IF(AND(C32="Normal uge 4",B32="ti"),'Normal uger'!$AW$51,0)</f>
        <v>0</v>
      </c>
      <c r="CR32" s="362">
        <f>IF(AND(C32="Normal uge 4",B32="on"),'Normal uger'!$AY$51,0)</f>
        <v>0</v>
      </c>
      <c r="CS32" s="362">
        <f>IF(AND(C32="Normal uge 4",B32="to"),'Normal uger'!$BA$51,0)</f>
        <v>0</v>
      </c>
      <c r="CT32" s="362">
        <f>IF(AND(C32="Normal uge 4",B32="fr"),'Normal uger'!$BC$51,0)</f>
        <v>0</v>
      </c>
      <c r="CU32" s="655">
        <f>IF(AND(C32="Normal uge 5",B32="ma"),'Normal uger'!$BI$51,0)</f>
        <v>0</v>
      </c>
      <c r="CV32" s="655">
        <f>IF(AND(C32="Normal uge 5",B32="ti"),'Normal uger'!$BK$51,0)</f>
        <v>0</v>
      </c>
      <c r="CW32" s="655">
        <f>IF(AND(C32="Normal uge 5",B32="on"),'Normal uger'!$BM$51,0)</f>
        <v>0</v>
      </c>
      <c r="CX32" s="655">
        <f>IF(AND(C32="Normal uge 5",B32="to"),'Normal uger'!$BO$51,0)</f>
        <v>0</v>
      </c>
      <c r="CY32" s="655">
        <f>IF(AND(C32="Normal uge 5",B32="fr"),'Normal uger'!$BQ$51,0)</f>
        <v>0</v>
      </c>
      <c r="CZ32" s="654">
        <f>IF(AND(C32="Normal uge 6",B32="ma"),'Normal uger'!$BW$51,0)</f>
        <v>0</v>
      </c>
      <c r="DA32" s="654">
        <f>IF(AND(C32="Normal uge 6",B32="ti"),'Normal uger'!$BY$51,0)</f>
        <v>0</v>
      </c>
      <c r="DB32" s="654">
        <f>IF(AND(C32="Normal uge 6",B32="on"),'Normal uger'!$CA$51,0)</f>
        <v>0</v>
      </c>
      <c r="DC32" s="654">
        <f>IF(AND(C32="Normal uge 6",B32="to"),'Normal uger'!$CC$51,0)</f>
        <v>0</v>
      </c>
      <c r="DD32" s="654">
        <f>IF(AND(C32="Normal uge 6",B32="fr"),'Normal uger'!$CE$51,0)</f>
        <v>0</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19</v>
      </c>
      <c r="B33" s="72" t="str">
        <f t="shared" si="0"/>
        <v>sø</v>
      </c>
      <c r="C33" s="73" t="s">
        <v>77</v>
      </c>
      <c r="D33" s="74" t="str">
        <f t="shared" si="1"/>
        <v/>
      </c>
      <c r="E33" s="858"/>
      <c r="F33" s="859"/>
      <c r="G33" s="860"/>
      <c r="H33" s="175"/>
      <c r="I33" s="221"/>
      <c r="J33" s="221"/>
      <c r="K33" s="191">
        <f t="shared" si="14"/>
        <v>0</v>
      </c>
      <c r="L33" s="191">
        <f t="shared" si="15"/>
        <v>0</v>
      </c>
      <c r="M33" s="238"/>
      <c r="N33" s="357"/>
      <c r="O33" s="408"/>
      <c r="P33" s="195"/>
      <c r="Q33" s="196"/>
      <c r="R33" s="196"/>
      <c r="S33" s="192"/>
      <c r="T33" s="255"/>
      <c r="U33" s="193"/>
      <c r="V33">
        <f t="shared" si="16"/>
        <v>0</v>
      </c>
      <c r="W33">
        <f t="shared" si="2"/>
        <v>0</v>
      </c>
      <c r="X33" s="358">
        <f t="shared" si="17"/>
        <v>0</v>
      </c>
      <c r="Y33" s="358">
        <f t="shared" si="18"/>
        <v>0</v>
      </c>
      <c r="Z33" s="358">
        <f t="shared" si="3"/>
        <v>0</v>
      </c>
      <c r="AA33" s="358">
        <f t="shared" si="19"/>
        <v>0</v>
      </c>
      <c r="AB33" s="358">
        <f t="shared" si="20"/>
        <v>0</v>
      </c>
      <c r="AC33" s="358">
        <f>IF(C33="Orlov",Stamoplysninger!$E$21*7.4,0)</f>
        <v>0</v>
      </c>
      <c r="AD33" s="358">
        <f>IF(C33="Rul 1",Rul!$E$46,0)</f>
        <v>0</v>
      </c>
      <c r="AE33" s="358">
        <f>IF(C33="Rul 2",Rul!$G$46,0)</f>
        <v>0</v>
      </c>
      <c r="AF33" s="358">
        <f>IF(C33="Rul 3",Rul!$I$46,0)</f>
        <v>0</v>
      </c>
      <c r="AG33" s="358">
        <f>IF(C33="Rul 4",Rul!$K$46,0)</f>
        <v>0</v>
      </c>
      <c r="AH33" s="358">
        <f>IF(C33="Rul 5",Rul!$M$46,0)</f>
        <v>0</v>
      </c>
      <c r="AI33" s="358">
        <f>IF(C33="Rul 6",Rul!$O$46,0)</f>
        <v>0</v>
      </c>
      <c r="AJ33" s="359">
        <f>IF(AND(C33="Normal uge 1",B33="ma"),'Normal uger'!$E$48,0)</f>
        <v>0</v>
      </c>
      <c r="AK33" s="359">
        <f>IF(AND(C33="Normal uge 1",B33="ti"),'Normal uger'!$G$48,0)</f>
        <v>0</v>
      </c>
      <c r="AL33" s="359">
        <f>IF(AND(C33="Normal uge 1",B33="on"),'Normal uger'!$I$48,0)</f>
        <v>0</v>
      </c>
      <c r="AM33" s="359">
        <f>IF(AND(C33="Normal uge 1",B33="to"),'Normal uger'!$K$48,0)</f>
        <v>0</v>
      </c>
      <c r="AN33" s="359">
        <f>IF(AND(C33="Normal uge 1",B33="fr"),'Normal uger'!$M$48,0)</f>
        <v>0</v>
      </c>
      <c r="AO33" s="360">
        <f>IF(AND(C33="Normal uge 2",B33="ma"),'Normal uger'!$S$48,0)</f>
        <v>0</v>
      </c>
      <c r="AP33" s="360">
        <f>IF(AND(C33="Normal uge 2",B33="ti"),'Normal uger'!$U$48,0)</f>
        <v>0</v>
      </c>
      <c r="AQ33" s="360">
        <f>IF(AND(C33="Normal uge 2",B33="on"),'Normal uger'!$W$48,0)</f>
        <v>0</v>
      </c>
      <c r="AR33" s="360">
        <f>IF(AND(C33="Normal uge 2",B33="to"),'Normal uger'!$Y$48,0)</f>
        <v>0</v>
      </c>
      <c r="AS33" s="360">
        <f>IF(AND(C33="Normal uge 2",B33="fr"),'Normal uger'!$AA$48,0)</f>
        <v>0</v>
      </c>
      <c r="AT33" s="361">
        <f>IF(AND(C33="Normal uge 3",B33="ma"),'Normal uger'!$AG$48,0)</f>
        <v>0</v>
      </c>
      <c r="AU33" s="361">
        <f>IF(AND(C33="Normal uge 3",B33="ti"),'Normal uger'!$AI$48,0)</f>
        <v>0</v>
      </c>
      <c r="AV33" s="361">
        <f>IF(AND(C33="Normal uge 3",B33="on"),'Normal uger'!$AK$48,0)</f>
        <v>0</v>
      </c>
      <c r="AW33" s="361">
        <f>IF(AND(C33="Normal uge 3",B33="to"),'Normal uger'!$AM$48,0)</f>
        <v>0</v>
      </c>
      <c r="AX33" s="361">
        <f>IF(AND(C33="Normal uge 3",B33="fr"),'Normal uger'!$AO$48,0)</f>
        <v>0</v>
      </c>
      <c r="AY33" s="362">
        <f>IF(AND(C33="Normal uge 4",B33="ma"),'Normal uger'!$AU$48,0)</f>
        <v>0</v>
      </c>
      <c r="AZ33" s="362">
        <f>IF(AND(C33="Normal uge 4",B33="ti"),'Normal uger'!$AW$48,0)</f>
        <v>0</v>
      </c>
      <c r="BA33" s="362">
        <f>IF(AND(C33="Normal uge 4",B33="on"),'Normal uger'!$AY$48,0)</f>
        <v>0</v>
      </c>
      <c r="BB33" s="362">
        <f>IF(AND(C33="Normal uge 4",B33="to"),'Normal uger'!$BA$48,0)</f>
        <v>0</v>
      </c>
      <c r="BC33" s="362">
        <f>IF(AND(C33="Normal uge 4",B33="fr"),'Normal uger'!$BC$48,0)</f>
        <v>0</v>
      </c>
      <c r="BD33" s="655">
        <f>IF(AND(C33="Normal uge 5",B33="ma"),'Normal uger'!$BI$48,0)</f>
        <v>0</v>
      </c>
      <c r="BE33" s="655">
        <f>IF(AND(C33="Normal uge 5",B33="ti"),'Normal uger'!$BK$48,0)</f>
        <v>0</v>
      </c>
      <c r="BF33" s="655">
        <f>IF(AND(C33="Normal uge 5",B33="on"),'Normal uger'!$BM$48,0)</f>
        <v>0</v>
      </c>
      <c r="BG33" s="655">
        <f>IF(AND(C33="Normal uge 5",B33="to"),'Normal uger'!$BO$48,0)</f>
        <v>0</v>
      </c>
      <c r="BH33" s="655">
        <f>IF(AND(C33="Normal uge 5",B33="fr"),'Normal uger'!$BQ$48,0)</f>
        <v>0</v>
      </c>
      <c r="BI33" s="654">
        <f>IF(AND(C33="Normal uge 6",B33="ma"),'Normal uger'!$BW$48,0)</f>
        <v>0</v>
      </c>
      <c r="BJ33" s="654">
        <f>IF(AND(C33="Normal uge 6",B33="ti"),'Normal uger'!$BY$48,0)</f>
        <v>0</v>
      </c>
      <c r="BK33" s="654">
        <f>IF(AND(C33="Normal uge 6",B33="on"),'Normal uger'!$CA$48,0)</f>
        <v>0</v>
      </c>
      <c r="BL33" s="654">
        <f>IF(AND(C33="Normal uge 6",B33="to"),'Normal uger'!$CC$48,0)</f>
        <v>0</v>
      </c>
      <c r="BM33" s="654">
        <f>IF(AND(C33="Normal uge 6",B33="fr"),'Normal uger'!$CE$48,0)</f>
        <v>0</v>
      </c>
      <c r="BN33" s="1">
        <f t="shared" si="21"/>
        <v>0</v>
      </c>
      <c r="BO33" s="125">
        <f t="shared" si="4"/>
        <v>0</v>
      </c>
      <c r="BP33" s="358">
        <f t="shared" si="5"/>
        <v>0</v>
      </c>
      <c r="BQ33" s="358">
        <f t="shared" si="22"/>
        <v>0</v>
      </c>
      <c r="BR33" s="358">
        <f t="shared" si="6"/>
        <v>0</v>
      </c>
      <c r="BS33" s="358">
        <f t="shared" si="7"/>
        <v>0</v>
      </c>
      <c r="BT33" s="358">
        <f t="shared" si="8"/>
        <v>0</v>
      </c>
      <c r="BU33" s="358">
        <f>IF(C33="Rul 1",Rul!$E$49,0)</f>
        <v>0</v>
      </c>
      <c r="BV33" s="358">
        <f>IF(C33="Rul 2",Rul!$G$49,0)</f>
        <v>0</v>
      </c>
      <c r="BW33" s="358">
        <f>IF(C33="Rul 3",Rul!$I$49,0)</f>
        <v>0</v>
      </c>
      <c r="BX33" s="358">
        <f>IF(C33="Rul 4",Rul!$K$49,0)</f>
        <v>0</v>
      </c>
      <c r="BY33" s="358">
        <f>IF(C33="Rul 5",Rul!$M$49,0)</f>
        <v>0</v>
      </c>
      <c r="BZ33" s="358">
        <f>IF(C33="Rul 6",Rul!$O$49,0)</f>
        <v>0</v>
      </c>
      <c r="CA33" s="359">
        <f>IF(AND(C33="Normal uge 1",B33="ma"),'Normal uger'!$E$51,0)</f>
        <v>0</v>
      </c>
      <c r="CB33" s="359">
        <f>IF(AND(C33="Normal uge 1",B33="ti"),'Normal uger'!$G$51,0)</f>
        <v>0</v>
      </c>
      <c r="CC33" s="359">
        <f>IF(AND(C33="Normal uge 1",B33="on"),'Normal uger'!$I$51,0)</f>
        <v>0</v>
      </c>
      <c r="CD33" s="359">
        <f>IF(AND(C33="Normal uge 1",B33="to"),'Normal uger'!$K$51,0)</f>
        <v>0</v>
      </c>
      <c r="CE33" s="359">
        <f>IF(AND(C33="Normal uge 1",B33="fr"),'Normal uger'!$M$51,0)</f>
        <v>0</v>
      </c>
      <c r="CF33" s="360">
        <f>IF(AND(C33="Normal uge 2",B33="ma"),'Normal uger'!$S$51,0)</f>
        <v>0</v>
      </c>
      <c r="CG33" s="360">
        <f>IF(AND(C33="Normal uge 2",B33="ti"),'Normal uger'!$U$51,0)</f>
        <v>0</v>
      </c>
      <c r="CH33" s="360">
        <f>IF(AND(C33="Normal uge 2",B33="on"),'Normal uger'!$W$51,0)</f>
        <v>0</v>
      </c>
      <c r="CI33" s="360">
        <f>IF(AND(C33="Normal uge 2",B33="to"),'Normal uger'!$Y$51,0)</f>
        <v>0</v>
      </c>
      <c r="CJ33" s="360">
        <f>IF(AND(C33="Normal uge 2",B33="fr"),'Normal uger'!$AA$51,0)</f>
        <v>0</v>
      </c>
      <c r="CK33" s="361">
        <f>IF(AND(C33="Normal uge 3",B33="ma"),'Normal uger'!$AG$51,0)</f>
        <v>0</v>
      </c>
      <c r="CL33" s="361">
        <f>IF(AND(C33="Normal uge 3",B33="ti"),'Normal uger'!$AI$51,0)</f>
        <v>0</v>
      </c>
      <c r="CM33" s="361">
        <f>IF(AND(C33="Normal uge 3",B33="on"),'Normal uger'!$AK$51,0)</f>
        <v>0</v>
      </c>
      <c r="CN33" s="361">
        <f>IF(AND(C33="Normal uge 3",B33="to"),'Normal uger'!$AM$51,0)</f>
        <v>0</v>
      </c>
      <c r="CO33" s="361">
        <f>IF(AND(C33="Normal uge 3",B33="fr"),'Normal uger'!$AO$51,0)</f>
        <v>0</v>
      </c>
      <c r="CP33" s="362">
        <f>IF(AND(C33="Normal uge 4",B33="ma"),'Normal uger'!$AU$51,0)</f>
        <v>0</v>
      </c>
      <c r="CQ33" s="362">
        <f>IF(AND(C33="Normal uge 4",B33="ti"),'Normal uger'!$AW$51,0)</f>
        <v>0</v>
      </c>
      <c r="CR33" s="362">
        <f>IF(AND(C33="Normal uge 4",B33="on"),'Normal uger'!$AY$51,0)</f>
        <v>0</v>
      </c>
      <c r="CS33" s="362">
        <f>IF(AND(C33="Normal uge 4",B33="to"),'Normal uger'!$BA$51,0)</f>
        <v>0</v>
      </c>
      <c r="CT33" s="362">
        <f>IF(AND(C33="Normal uge 4",B33="fr"),'Normal uger'!$BC$51,0)</f>
        <v>0</v>
      </c>
      <c r="CU33" s="655">
        <f>IF(AND(C33="Normal uge 5",B33="ma"),'Normal uger'!$BI$51,0)</f>
        <v>0</v>
      </c>
      <c r="CV33" s="655">
        <f>IF(AND(C33="Normal uge 5",B33="ti"),'Normal uger'!$BK$51,0)</f>
        <v>0</v>
      </c>
      <c r="CW33" s="655">
        <f>IF(AND(C33="Normal uge 5",B33="on"),'Normal uger'!$BM$51,0)</f>
        <v>0</v>
      </c>
      <c r="CX33" s="655">
        <f>IF(AND(C33="Normal uge 5",B33="to"),'Normal uger'!$BO$51,0)</f>
        <v>0</v>
      </c>
      <c r="CY33" s="655">
        <f>IF(AND(C33="Normal uge 5",B33="fr"),'Normal uger'!$BQ$51,0)</f>
        <v>0</v>
      </c>
      <c r="CZ33" s="654">
        <f>IF(AND(C33="Normal uge 6",B33="ma"),'Normal uger'!$BW$51,0)</f>
        <v>0</v>
      </c>
      <c r="DA33" s="654">
        <f>IF(AND(C33="Normal uge 6",B33="ti"),'Normal uger'!$BY$51,0)</f>
        <v>0</v>
      </c>
      <c r="DB33" s="654">
        <f>IF(AND(C33="Normal uge 6",B33="on"),'Normal uger'!$CA$51,0)</f>
        <v>0</v>
      </c>
      <c r="DC33" s="654">
        <f>IF(AND(C33="Normal uge 6",B33="to"),'Normal uger'!$CC$51,0)</f>
        <v>0</v>
      </c>
      <c r="DD33" s="654">
        <f>IF(AND(C33="Normal uge 6",B33="fr"),'Normal uger'!$CE$51,0)</f>
        <v>0</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20</v>
      </c>
      <c r="B34" s="72" t="str">
        <f t="shared" si="0"/>
        <v>ma</v>
      </c>
      <c r="C34" s="73" t="s">
        <v>217</v>
      </c>
      <c r="D34" s="74">
        <f t="shared" si="1"/>
        <v>29.571428571428573</v>
      </c>
      <c r="E34" s="858"/>
      <c r="F34" s="859"/>
      <c r="G34" s="860"/>
      <c r="H34" s="175"/>
      <c r="I34" s="221"/>
      <c r="J34" s="221"/>
      <c r="K34" s="191">
        <f t="shared" si="14"/>
        <v>0</v>
      </c>
      <c r="L34" s="191">
        <f t="shared" si="15"/>
        <v>0</v>
      </c>
      <c r="M34" s="238"/>
      <c r="N34" s="357"/>
      <c r="O34" s="408"/>
      <c r="P34" s="195"/>
      <c r="Q34" s="196"/>
      <c r="R34" s="196"/>
      <c r="S34" s="192"/>
      <c r="T34" s="255"/>
      <c r="U34" s="193"/>
      <c r="V34">
        <f t="shared" si="16"/>
        <v>0</v>
      </c>
      <c r="W34">
        <f t="shared" si="2"/>
        <v>0</v>
      </c>
      <c r="X34" s="358">
        <f t="shared" si="17"/>
        <v>0</v>
      </c>
      <c r="Y34" s="358">
        <f t="shared" si="18"/>
        <v>0</v>
      </c>
      <c r="Z34" s="358">
        <f t="shared" si="3"/>
        <v>0</v>
      </c>
      <c r="AA34" s="358">
        <f t="shared" si="19"/>
        <v>0</v>
      </c>
      <c r="AB34" s="358">
        <f t="shared" si="20"/>
        <v>0</v>
      </c>
      <c r="AC34" s="358">
        <f>IF(C34="Orlov",Stamoplysninger!$E$21*7.4,0)</f>
        <v>0</v>
      </c>
      <c r="AD34" s="358">
        <f>IF(C34="Rul 1",Rul!$E$46,0)</f>
        <v>0</v>
      </c>
      <c r="AE34" s="358">
        <f>IF(C34="Rul 2",Rul!$G$46,0)</f>
        <v>0</v>
      </c>
      <c r="AF34" s="358">
        <f>IF(C34="Rul 3",Rul!$I$46,0)</f>
        <v>0</v>
      </c>
      <c r="AG34" s="358">
        <f>IF(C34="Rul 4",Rul!$K$46,0)</f>
        <v>0</v>
      </c>
      <c r="AH34" s="358">
        <f>IF(C34="Rul 5",Rul!$M$46,0)</f>
        <v>0</v>
      </c>
      <c r="AI34" s="358">
        <f>IF(C34="Rul 6",Rul!$O$46,0)</f>
        <v>0</v>
      </c>
      <c r="AJ34" s="359">
        <f>IF(AND(C34="Normal uge 1",B34="ma"),'Normal uger'!$E$48,0)</f>
        <v>0</v>
      </c>
      <c r="AK34" s="359">
        <f>IF(AND(C34="Normal uge 1",B34="ti"),'Normal uger'!$G$48,0)</f>
        <v>0</v>
      </c>
      <c r="AL34" s="359">
        <f>IF(AND(C34="Normal uge 1",B34="on"),'Normal uger'!$I$48,0)</f>
        <v>0</v>
      </c>
      <c r="AM34" s="359">
        <f>IF(AND(C34="Normal uge 1",B34="to"),'Normal uger'!$K$48,0)</f>
        <v>0</v>
      </c>
      <c r="AN34" s="359">
        <f>IF(AND(C34="Normal uge 1",B34="fr"),'Normal uger'!$M$48,0)</f>
        <v>0</v>
      </c>
      <c r="AO34" s="360">
        <f>IF(AND(C34="Normal uge 2",B34="ma"),'Normal uger'!$S$48,0)</f>
        <v>0</v>
      </c>
      <c r="AP34" s="360">
        <f>IF(AND(C34="Normal uge 2",B34="ti"),'Normal uger'!$U$48,0)</f>
        <v>0</v>
      </c>
      <c r="AQ34" s="360">
        <f>IF(AND(C34="Normal uge 2",B34="on"),'Normal uger'!$W$48,0)</f>
        <v>0</v>
      </c>
      <c r="AR34" s="360">
        <f>IF(AND(C34="Normal uge 2",B34="to"),'Normal uger'!$Y$48,0)</f>
        <v>0</v>
      </c>
      <c r="AS34" s="360">
        <f>IF(AND(C34="Normal uge 2",B34="fr"),'Normal uger'!$AA$48,0)</f>
        <v>0</v>
      </c>
      <c r="AT34" s="361">
        <f>IF(AND(C34="Normal uge 3",B34="ma"),'Normal uger'!$AG$48,0)</f>
        <v>0</v>
      </c>
      <c r="AU34" s="361">
        <f>IF(AND(C34="Normal uge 3",B34="ti"),'Normal uger'!$AI$48,0)</f>
        <v>0</v>
      </c>
      <c r="AV34" s="361">
        <f>IF(AND(C34="Normal uge 3",B34="on"),'Normal uger'!$AK$48,0)</f>
        <v>0</v>
      </c>
      <c r="AW34" s="361">
        <f>IF(AND(C34="Normal uge 3",B34="to"),'Normal uger'!$AM$48,0)</f>
        <v>0</v>
      </c>
      <c r="AX34" s="361">
        <f>IF(AND(C34="Normal uge 3",B34="fr"),'Normal uger'!$AO$48,0)</f>
        <v>0</v>
      </c>
      <c r="AY34" s="362">
        <f>IF(AND(C34="Normal uge 4",B34="ma"),'Normal uger'!$AU$48,0)</f>
        <v>0</v>
      </c>
      <c r="AZ34" s="362">
        <f>IF(AND(C34="Normal uge 4",B34="ti"),'Normal uger'!$AW$48,0)</f>
        <v>0</v>
      </c>
      <c r="BA34" s="362">
        <f>IF(AND(C34="Normal uge 4",B34="on"),'Normal uger'!$AY$48,0)</f>
        <v>0</v>
      </c>
      <c r="BB34" s="362">
        <f>IF(AND(C34="Normal uge 4",B34="to"),'Normal uger'!$BA$48,0)</f>
        <v>0</v>
      </c>
      <c r="BC34" s="362">
        <f>IF(AND(C34="Normal uge 4",B34="fr"),'Normal uger'!$BC$48,0)</f>
        <v>0</v>
      </c>
      <c r="BD34" s="655">
        <f>IF(AND(C34="Normal uge 5",B34="ma"),'Normal uger'!$BI$48,0)</f>
        <v>0</v>
      </c>
      <c r="BE34" s="655">
        <f>IF(AND(C34="Normal uge 5",B34="ti"),'Normal uger'!$BK$48,0)</f>
        <v>0</v>
      </c>
      <c r="BF34" s="655">
        <f>IF(AND(C34="Normal uge 5",B34="on"),'Normal uger'!$BM$48,0)</f>
        <v>0</v>
      </c>
      <c r="BG34" s="655">
        <f>IF(AND(C34="Normal uge 5",B34="to"),'Normal uger'!$BO$48,0)</f>
        <v>0</v>
      </c>
      <c r="BH34" s="655">
        <f>IF(AND(C34="Normal uge 5",B34="fr"),'Normal uger'!$BQ$48,0)</f>
        <v>0</v>
      </c>
      <c r="BI34" s="654">
        <f>IF(AND(C34="Normal uge 6",B34="ma"),'Normal uger'!$BW$48,0)</f>
        <v>0</v>
      </c>
      <c r="BJ34" s="654">
        <f>IF(AND(C34="Normal uge 6",B34="ti"),'Normal uger'!$BY$48,0)</f>
        <v>0</v>
      </c>
      <c r="BK34" s="654">
        <f>IF(AND(C34="Normal uge 6",B34="on"),'Normal uger'!$CA$48,0)</f>
        <v>0</v>
      </c>
      <c r="BL34" s="654">
        <f>IF(AND(C34="Normal uge 6",B34="to"),'Normal uger'!$CC$48,0)</f>
        <v>0</v>
      </c>
      <c r="BM34" s="654">
        <f>IF(AND(C34="Normal uge 6",B34="fr"),'Normal uger'!$CE$48,0)</f>
        <v>0</v>
      </c>
      <c r="BN34" s="1">
        <f t="shared" si="21"/>
        <v>0</v>
      </c>
      <c r="BO34" s="125">
        <f t="shared" si="4"/>
        <v>0</v>
      </c>
      <c r="BP34" s="358">
        <f t="shared" si="5"/>
        <v>0</v>
      </c>
      <c r="BQ34" s="358">
        <f t="shared" si="22"/>
        <v>0</v>
      </c>
      <c r="BR34" s="358">
        <f t="shared" si="6"/>
        <v>0</v>
      </c>
      <c r="BS34" s="358">
        <f t="shared" si="7"/>
        <v>0</v>
      </c>
      <c r="BT34" s="358">
        <f t="shared" si="8"/>
        <v>0</v>
      </c>
      <c r="BU34" s="358">
        <f>IF(C34="Rul 1",Rul!$E$49,0)</f>
        <v>0</v>
      </c>
      <c r="BV34" s="358">
        <f>IF(C34="Rul 2",Rul!$G$49,0)</f>
        <v>0</v>
      </c>
      <c r="BW34" s="358">
        <f>IF(C34="Rul 3",Rul!$I$49,0)</f>
        <v>0</v>
      </c>
      <c r="BX34" s="358">
        <f>IF(C34="Rul 4",Rul!$K$49,0)</f>
        <v>0</v>
      </c>
      <c r="BY34" s="358">
        <f>IF(C34="Rul 5",Rul!$M$49,0)</f>
        <v>0</v>
      </c>
      <c r="BZ34" s="358">
        <f>IF(C34="Rul 6",Rul!$O$49,0)</f>
        <v>0</v>
      </c>
      <c r="CA34" s="359">
        <f>IF(AND(C34="Normal uge 1",B34="ma"),'Normal uger'!$E$51,0)</f>
        <v>0</v>
      </c>
      <c r="CB34" s="359">
        <f>IF(AND(C34="Normal uge 1",B34="ti"),'Normal uger'!$G$51,0)</f>
        <v>0</v>
      </c>
      <c r="CC34" s="359">
        <f>IF(AND(C34="Normal uge 1",B34="on"),'Normal uger'!$I$51,0)</f>
        <v>0</v>
      </c>
      <c r="CD34" s="359">
        <f>IF(AND(C34="Normal uge 1",B34="to"),'Normal uger'!$K$51,0)</f>
        <v>0</v>
      </c>
      <c r="CE34" s="359">
        <f>IF(AND(C34="Normal uge 1",B34="fr"),'Normal uger'!$M$51,0)</f>
        <v>0</v>
      </c>
      <c r="CF34" s="360">
        <f>IF(AND(C34="Normal uge 2",B34="ma"),'Normal uger'!$S$51,0)</f>
        <v>0</v>
      </c>
      <c r="CG34" s="360">
        <f>IF(AND(C34="Normal uge 2",B34="ti"),'Normal uger'!$U$51,0)</f>
        <v>0</v>
      </c>
      <c r="CH34" s="360">
        <f>IF(AND(C34="Normal uge 2",B34="on"),'Normal uger'!$W$51,0)</f>
        <v>0</v>
      </c>
      <c r="CI34" s="360">
        <f>IF(AND(C34="Normal uge 2",B34="to"),'Normal uger'!$Y$51,0)</f>
        <v>0</v>
      </c>
      <c r="CJ34" s="360">
        <f>IF(AND(C34="Normal uge 2",B34="fr"),'Normal uger'!$AA$51,0)</f>
        <v>0</v>
      </c>
      <c r="CK34" s="361">
        <f>IF(AND(C34="Normal uge 3",B34="ma"),'Normal uger'!$AG$51,0)</f>
        <v>0</v>
      </c>
      <c r="CL34" s="361">
        <f>IF(AND(C34="Normal uge 3",B34="ti"),'Normal uger'!$AI$51,0)</f>
        <v>0</v>
      </c>
      <c r="CM34" s="361">
        <f>IF(AND(C34="Normal uge 3",B34="on"),'Normal uger'!$AK$51,0)</f>
        <v>0</v>
      </c>
      <c r="CN34" s="361">
        <f>IF(AND(C34="Normal uge 3",B34="to"),'Normal uger'!$AM$51,0)</f>
        <v>0</v>
      </c>
      <c r="CO34" s="361">
        <f>IF(AND(C34="Normal uge 3",B34="fr"),'Normal uger'!$AO$51,0)</f>
        <v>0</v>
      </c>
      <c r="CP34" s="362">
        <f>IF(AND(C34="Normal uge 4",B34="ma"),'Normal uger'!$AU$51,0)</f>
        <v>0</v>
      </c>
      <c r="CQ34" s="362">
        <f>IF(AND(C34="Normal uge 4",B34="ti"),'Normal uger'!$AW$51,0)</f>
        <v>0</v>
      </c>
      <c r="CR34" s="362">
        <f>IF(AND(C34="Normal uge 4",B34="on"),'Normal uger'!$AY$51,0)</f>
        <v>0</v>
      </c>
      <c r="CS34" s="362">
        <f>IF(AND(C34="Normal uge 4",B34="to"),'Normal uger'!$BA$51,0)</f>
        <v>0</v>
      </c>
      <c r="CT34" s="362">
        <f>IF(AND(C34="Normal uge 4",B34="fr"),'Normal uger'!$BC$51,0)</f>
        <v>0</v>
      </c>
      <c r="CU34" s="655">
        <f>IF(AND(C34="Normal uge 5",B34="ma"),'Normal uger'!$BI$51,0)</f>
        <v>0</v>
      </c>
      <c r="CV34" s="655">
        <f>IF(AND(C34="Normal uge 5",B34="ti"),'Normal uger'!$BK$51,0)</f>
        <v>0</v>
      </c>
      <c r="CW34" s="655">
        <f>IF(AND(C34="Normal uge 5",B34="on"),'Normal uger'!$BM$51,0)</f>
        <v>0</v>
      </c>
      <c r="CX34" s="655">
        <f>IF(AND(C34="Normal uge 5",B34="to"),'Normal uger'!$BO$51,0)</f>
        <v>0</v>
      </c>
      <c r="CY34" s="655">
        <f>IF(AND(C34="Normal uge 5",B34="fr"),'Normal uger'!$BQ$51,0)</f>
        <v>0</v>
      </c>
      <c r="CZ34" s="654">
        <f>IF(AND(C34="Normal uge 6",B34="ma"),'Normal uger'!$BW$51,0)</f>
        <v>0</v>
      </c>
      <c r="DA34" s="654">
        <f>IF(AND(C34="Normal uge 6",B34="ti"),'Normal uger'!$BY$51,0)</f>
        <v>0</v>
      </c>
      <c r="DB34" s="654">
        <f>IF(AND(C34="Normal uge 6",B34="on"),'Normal uger'!$CA$51,0)</f>
        <v>0</v>
      </c>
      <c r="DC34" s="654">
        <f>IF(AND(C34="Normal uge 6",B34="to"),'Normal uger'!$CC$51,0)</f>
        <v>0</v>
      </c>
      <c r="DD34" s="654">
        <f>IF(AND(C34="Normal uge 6",B34="fr"),'Normal uger'!$CE$51,0)</f>
        <v>0</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21</v>
      </c>
      <c r="B35" s="72" t="str">
        <f t="shared" si="0"/>
        <v>ti</v>
      </c>
      <c r="C35" s="73" t="s">
        <v>217</v>
      </c>
      <c r="D35" s="74" t="str">
        <f t="shared" si="1"/>
        <v/>
      </c>
      <c r="E35" s="858"/>
      <c r="F35" s="859"/>
      <c r="G35" s="860"/>
      <c r="H35" s="175"/>
      <c r="I35" s="221"/>
      <c r="J35" s="221"/>
      <c r="K35" s="191">
        <f t="shared" si="14"/>
        <v>0</v>
      </c>
      <c r="L35" s="191">
        <f t="shared" si="15"/>
        <v>0</v>
      </c>
      <c r="M35" s="238"/>
      <c r="N35" s="357"/>
      <c r="O35" s="408"/>
      <c r="P35" s="195"/>
      <c r="Q35" s="196"/>
      <c r="R35" s="196"/>
      <c r="S35" s="192"/>
      <c r="T35" s="255"/>
      <c r="U35" s="193"/>
      <c r="V35">
        <f t="shared" si="16"/>
        <v>0</v>
      </c>
      <c r="W35">
        <f t="shared" si="2"/>
        <v>0</v>
      </c>
      <c r="X35" s="358">
        <f t="shared" si="17"/>
        <v>0</v>
      </c>
      <c r="Y35" s="358">
        <f t="shared" si="18"/>
        <v>0</v>
      </c>
      <c r="Z35" s="358">
        <f t="shared" si="3"/>
        <v>0</v>
      </c>
      <c r="AA35" s="358">
        <f t="shared" si="19"/>
        <v>0</v>
      </c>
      <c r="AB35" s="358">
        <f t="shared" si="20"/>
        <v>0</v>
      </c>
      <c r="AC35" s="358">
        <f>IF(C35="Orlov",Stamoplysninger!$E$21*7.4,0)</f>
        <v>0</v>
      </c>
      <c r="AD35" s="358">
        <f>IF(C35="Rul 1",Rul!$E$46,0)</f>
        <v>0</v>
      </c>
      <c r="AE35" s="358">
        <f>IF(C35="Rul 2",Rul!$G$46,0)</f>
        <v>0</v>
      </c>
      <c r="AF35" s="358">
        <f>IF(C35="Rul 3",Rul!$I$46,0)</f>
        <v>0</v>
      </c>
      <c r="AG35" s="358">
        <f>IF(C35="Rul 4",Rul!$K$46,0)</f>
        <v>0</v>
      </c>
      <c r="AH35" s="358">
        <f>IF(C35="Rul 5",Rul!$M$46,0)</f>
        <v>0</v>
      </c>
      <c r="AI35" s="358">
        <f>IF(C35="Rul 6",Rul!$O$46,0)</f>
        <v>0</v>
      </c>
      <c r="AJ35" s="359">
        <f>IF(AND(C35="Normal uge 1",B35="ma"),'Normal uger'!$E$48,0)</f>
        <v>0</v>
      </c>
      <c r="AK35" s="359">
        <f>IF(AND(C35="Normal uge 1",B35="ti"),'Normal uger'!$G$48,0)</f>
        <v>0</v>
      </c>
      <c r="AL35" s="359">
        <f>IF(AND(C35="Normal uge 1",B35="on"),'Normal uger'!$I$48,0)</f>
        <v>0</v>
      </c>
      <c r="AM35" s="359">
        <f>IF(AND(C35="Normal uge 1",B35="to"),'Normal uger'!$K$48,0)</f>
        <v>0</v>
      </c>
      <c r="AN35" s="359">
        <f>IF(AND(C35="Normal uge 1",B35="fr"),'Normal uger'!$M$48,0)</f>
        <v>0</v>
      </c>
      <c r="AO35" s="360">
        <f>IF(AND(C35="Normal uge 2",B35="ma"),'Normal uger'!$S$48,0)</f>
        <v>0</v>
      </c>
      <c r="AP35" s="360">
        <f>IF(AND(C35="Normal uge 2",B35="ti"),'Normal uger'!$U$48,0)</f>
        <v>0</v>
      </c>
      <c r="AQ35" s="360">
        <f>IF(AND(C35="Normal uge 2",B35="on"),'Normal uger'!$W$48,0)</f>
        <v>0</v>
      </c>
      <c r="AR35" s="360">
        <f>IF(AND(C35="Normal uge 2",B35="to"),'Normal uger'!$Y$48,0)</f>
        <v>0</v>
      </c>
      <c r="AS35" s="360">
        <f>IF(AND(C35="Normal uge 2",B35="fr"),'Normal uger'!$AA$48,0)</f>
        <v>0</v>
      </c>
      <c r="AT35" s="361">
        <f>IF(AND(C35="Normal uge 3",B35="ma"),'Normal uger'!$AG$48,0)</f>
        <v>0</v>
      </c>
      <c r="AU35" s="361">
        <f>IF(AND(C35="Normal uge 3",B35="ti"),'Normal uger'!$AI$48,0)</f>
        <v>0</v>
      </c>
      <c r="AV35" s="361">
        <f>IF(AND(C35="Normal uge 3",B35="on"),'Normal uger'!$AK$48,0)</f>
        <v>0</v>
      </c>
      <c r="AW35" s="361">
        <f>IF(AND(C35="Normal uge 3",B35="to"),'Normal uger'!$AM$48,0)</f>
        <v>0</v>
      </c>
      <c r="AX35" s="361">
        <f>IF(AND(C35="Normal uge 3",B35="fr"),'Normal uger'!$AO$48,0)</f>
        <v>0</v>
      </c>
      <c r="AY35" s="362">
        <f>IF(AND(C35="Normal uge 4",B35="ma"),'Normal uger'!$AU$48,0)</f>
        <v>0</v>
      </c>
      <c r="AZ35" s="362">
        <f>IF(AND(C35="Normal uge 4",B35="ti"),'Normal uger'!$AW$48,0)</f>
        <v>0</v>
      </c>
      <c r="BA35" s="362">
        <f>IF(AND(C35="Normal uge 4",B35="on"),'Normal uger'!$AY$48,0)</f>
        <v>0</v>
      </c>
      <c r="BB35" s="362">
        <f>IF(AND(C35="Normal uge 4",B35="to"),'Normal uger'!$BA$48,0)</f>
        <v>0</v>
      </c>
      <c r="BC35" s="362">
        <f>IF(AND(C35="Normal uge 4",B35="fr"),'Normal uger'!$BC$48,0)</f>
        <v>0</v>
      </c>
      <c r="BD35" s="655">
        <f>IF(AND(C35="Normal uge 5",B35="ma"),'Normal uger'!$BI$48,0)</f>
        <v>0</v>
      </c>
      <c r="BE35" s="655">
        <f>IF(AND(C35="Normal uge 5",B35="ti"),'Normal uger'!$BK$48,0)</f>
        <v>0</v>
      </c>
      <c r="BF35" s="655">
        <f>IF(AND(C35="Normal uge 5",B35="on"),'Normal uger'!$BM$48,0)</f>
        <v>0</v>
      </c>
      <c r="BG35" s="655">
        <f>IF(AND(C35="Normal uge 5",B35="to"),'Normal uger'!$BO$48,0)</f>
        <v>0</v>
      </c>
      <c r="BH35" s="655">
        <f>IF(AND(C35="Normal uge 5",B35="fr"),'Normal uger'!$BQ$48,0)</f>
        <v>0</v>
      </c>
      <c r="BI35" s="654">
        <f>IF(AND(C35="Normal uge 6",B35="ma"),'Normal uger'!$BW$48,0)</f>
        <v>0</v>
      </c>
      <c r="BJ35" s="654">
        <f>IF(AND(C35="Normal uge 6",B35="ti"),'Normal uger'!$BY$48,0)</f>
        <v>0</v>
      </c>
      <c r="BK35" s="654">
        <f>IF(AND(C35="Normal uge 6",B35="on"),'Normal uger'!$CA$48,0)</f>
        <v>0</v>
      </c>
      <c r="BL35" s="654">
        <f>IF(AND(C35="Normal uge 6",B35="to"),'Normal uger'!$CC$48,0)</f>
        <v>0</v>
      </c>
      <c r="BM35" s="654">
        <f>IF(AND(C35="Normal uge 6",B35="fr"),'Normal uger'!$CE$48,0)</f>
        <v>0</v>
      </c>
      <c r="BN35" s="1">
        <f t="shared" si="21"/>
        <v>0</v>
      </c>
      <c r="BO35" s="125">
        <f t="shared" si="4"/>
        <v>0</v>
      </c>
      <c r="BP35" s="358">
        <f t="shared" si="5"/>
        <v>0</v>
      </c>
      <c r="BQ35" s="358">
        <f t="shared" si="22"/>
        <v>0</v>
      </c>
      <c r="BR35" s="358">
        <f t="shared" si="6"/>
        <v>0</v>
      </c>
      <c r="BS35" s="358">
        <f t="shared" si="7"/>
        <v>0</v>
      </c>
      <c r="BT35" s="358">
        <f t="shared" si="8"/>
        <v>0</v>
      </c>
      <c r="BU35" s="358">
        <f>IF(C35="Rul 1",Rul!$E$49,0)</f>
        <v>0</v>
      </c>
      <c r="BV35" s="358">
        <f>IF(C35="Rul 2",Rul!$G$49,0)</f>
        <v>0</v>
      </c>
      <c r="BW35" s="358">
        <f>IF(C35="Rul 3",Rul!$I$49,0)</f>
        <v>0</v>
      </c>
      <c r="BX35" s="358">
        <f>IF(C35="Rul 4",Rul!$K$49,0)</f>
        <v>0</v>
      </c>
      <c r="BY35" s="358">
        <f>IF(C35="Rul 5",Rul!$M$49,0)</f>
        <v>0</v>
      </c>
      <c r="BZ35" s="358">
        <f>IF(C35="Rul 6",Rul!$O$49,0)</f>
        <v>0</v>
      </c>
      <c r="CA35" s="359">
        <f>IF(AND(C35="Normal uge 1",B35="ma"),'Normal uger'!$E$51,0)</f>
        <v>0</v>
      </c>
      <c r="CB35" s="359">
        <f>IF(AND(C35="Normal uge 1",B35="ti"),'Normal uger'!$G$51,0)</f>
        <v>0</v>
      </c>
      <c r="CC35" s="359">
        <f>IF(AND(C35="Normal uge 1",B35="on"),'Normal uger'!$I$51,0)</f>
        <v>0</v>
      </c>
      <c r="CD35" s="359">
        <f>IF(AND(C35="Normal uge 1",B35="to"),'Normal uger'!$K$51,0)</f>
        <v>0</v>
      </c>
      <c r="CE35" s="359">
        <f>IF(AND(C35="Normal uge 1",B35="fr"),'Normal uger'!$M$51,0)</f>
        <v>0</v>
      </c>
      <c r="CF35" s="360">
        <f>IF(AND(C35="Normal uge 2",B35="ma"),'Normal uger'!$S$51,0)</f>
        <v>0</v>
      </c>
      <c r="CG35" s="360">
        <f>IF(AND(C35="Normal uge 2",B35="ti"),'Normal uger'!$U$51,0)</f>
        <v>0</v>
      </c>
      <c r="CH35" s="360">
        <f>IF(AND(C35="Normal uge 2",B35="on"),'Normal uger'!$W$51,0)</f>
        <v>0</v>
      </c>
      <c r="CI35" s="360">
        <f>IF(AND(C35="Normal uge 2",B35="to"),'Normal uger'!$Y$51,0)</f>
        <v>0</v>
      </c>
      <c r="CJ35" s="360">
        <f>IF(AND(C35="Normal uge 2",B35="fr"),'Normal uger'!$AA$51,0)</f>
        <v>0</v>
      </c>
      <c r="CK35" s="361">
        <f>IF(AND(C35="Normal uge 3",B35="ma"),'Normal uger'!$AG$51,0)</f>
        <v>0</v>
      </c>
      <c r="CL35" s="361">
        <f>IF(AND(C35="Normal uge 3",B35="ti"),'Normal uger'!$AI$51,0)</f>
        <v>0</v>
      </c>
      <c r="CM35" s="361">
        <f>IF(AND(C35="Normal uge 3",B35="on"),'Normal uger'!$AK$51,0)</f>
        <v>0</v>
      </c>
      <c r="CN35" s="361">
        <f>IF(AND(C35="Normal uge 3",B35="to"),'Normal uger'!$AM$51,0)</f>
        <v>0</v>
      </c>
      <c r="CO35" s="361">
        <f>IF(AND(C35="Normal uge 3",B35="fr"),'Normal uger'!$AO$51,0)</f>
        <v>0</v>
      </c>
      <c r="CP35" s="362">
        <f>IF(AND(C35="Normal uge 4",B35="ma"),'Normal uger'!$AU$51,0)</f>
        <v>0</v>
      </c>
      <c r="CQ35" s="362">
        <f>IF(AND(C35="Normal uge 4",B35="ti"),'Normal uger'!$AW$51,0)</f>
        <v>0</v>
      </c>
      <c r="CR35" s="362">
        <f>IF(AND(C35="Normal uge 4",B35="on"),'Normal uger'!$AY$51,0)</f>
        <v>0</v>
      </c>
      <c r="CS35" s="362">
        <f>IF(AND(C35="Normal uge 4",B35="to"),'Normal uger'!$BA$51,0)</f>
        <v>0</v>
      </c>
      <c r="CT35" s="362">
        <f>IF(AND(C35="Normal uge 4",B35="fr"),'Normal uger'!$BC$51,0)</f>
        <v>0</v>
      </c>
      <c r="CU35" s="655">
        <f>IF(AND(C35="Normal uge 5",B35="ma"),'Normal uger'!$BI$51,0)</f>
        <v>0</v>
      </c>
      <c r="CV35" s="655">
        <f>IF(AND(C35="Normal uge 5",B35="ti"),'Normal uger'!$BK$51,0)</f>
        <v>0</v>
      </c>
      <c r="CW35" s="655">
        <f>IF(AND(C35="Normal uge 5",B35="on"),'Normal uger'!$BM$51,0)</f>
        <v>0</v>
      </c>
      <c r="CX35" s="655">
        <f>IF(AND(C35="Normal uge 5",B35="to"),'Normal uger'!$BO$51,0)</f>
        <v>0</v>
      </c>
      <c r="CY35" s="655">
        <f>IF(AND(C35="Normal uge 5",B35="fr"),'Normal uger'!$BQ$51,0)</f>
        <v>0</v>
      </c>
      <c r="CZ35" s="654">
        <f>IF(AND(C35="Normal uge 6",B35="ma"),'Normal uger'!$BW$51,0)</f>
        <v>0</v>
      </c>
      <c r="DA35" s="654">
        <f>IF(AND(C35="Normal uge 6",B35="ti"),'Normal uger'!$BY$51,0)</f>
        <v>0</v>
      </c>
      <c r="DB35" s="654">
        <f>IF(AND(C35="Normal uge 6",B35="on"),'Normal uger'!$CA$51,0)</f>
        <v>0</v>
      </c>
      <c r="DC35" s="654">
        <f>IF(AND(C35="Normal uge 6",B35="to"),'Normal uger'!$CC$51,0)</f>
        <v>0</v>
      </c>
      <c r="DD35" s="654">
        <f>IF(AND(C35="Normal uge 6",B35="fr"),'Normal uger'!$CE$51,0)</f>
        <v>0</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22</v>
      </c>
      <c r="B36" s="72" t="str">
        <f t="shared" si="0"/>
        <v>on</v>
      </c>
      <c r="C36" s="73" t="s">
        <v>217</v>
      </c>
      <c r="D36" s="74" t="str">
        <f t="shared" si="1"/>
        <v/>
      </c>
      <c r="E36" s="858"/>
      <c r="F36" s="859"/>
      <c r="G36" s="860"/>
      <c r="H36" s="175"/>
      <c r="I36" s="221"/>
      <c r="J36" s="221"/>
      <c r="K36" s="191">
        <f t="shared" si="14"/>
        <v>0</v>
      </c>
      <c r="L36" s="191">
        <f t="shared" si="15"/>
        <v>0</v>
      </c>
      <c r="M36" s="238"/>
      <c r="N36" s="357"/>
      <c r="O36" s="408"/>
      <c r="P36" s="195"/>
      <c r="Q36" s="196"/>
      <c r="R36" s="196"/>
      <c r="S36" s="192"/>
      <c r="T36" s="255"/>
      <c r="U36" s="193"/>
      <c r="V36">
        <f t="shared" si="16"/>
        <v>0</v>
      </c>
      <c r="W36">
        <f t="shared" si="2"/>
        <v>0</v>
      </c>
      <c r="X36" s="358">
        <f t="shared" si="17"/>
        <v>0</v>
      </c>
      <c r="Y36" s="358">
        <f t="shared" si="18"/>
        <v>0</v>
      </c>
      <c r="Z36" s="358">
        <f t="shared" si="3"/>
        <v>0</v>
      </c>
      <c r="AA36" s="358">
        <f t="shared" si="19"/>
        <v>0</v>
      </c>
      <c r="AB36" s="358">
        <f t="shared" si="20"/>
        <v>0</v>
      </c>
      <c r="AC36" s="358">
        <f>IF(C36="Orlov",Stamoplysninger!$E$21*7.4,0)</f>
        <v>0</v>
      </c>
      <c r="AD36" s="358">
        <f>IF(C36="Rul 1",Rul!$E$46,0)</f>
        <v>0</v>
      </c>
      <c r="AE36" s="358">
        <f>IF(C36="Rul 2",Rul!$G$46,0)</f>
        <v>0</v>
      </c>
      <c r="AF36" s="358">
        <f>IF(C36="Rul 3",Rul!$I$46,0)</f>
        <v>0</v>
      </c>
      <c r="AG36" s="358">
        <f>IF(C36="Rul 4",Rul!$K$46,0)</f>
        <v>0</v>
      </c>
      <c r="AH36" s="358">
        <f>IF(C36="Rul 5",Rul!$M$46,0)</f>
        <v>0</v>
      </c>
      <c r="AI36" s="358">
        <f>IF(C36="Rul 6",Rul!$O$46,0)</f>
        <v>0</v>
      </c>
      <c r="AJ36" s="359">
        <f>IF(AND(C36="Normal uge 1",B36="ma"),'Normal uger'!$E$48,0)</f>
        <v>0</v>
      </c>
      <c r="AK36" s="359">
        <f>IF(AND(C36="Normal uge 1",B36="ti"),'Normal uger'!$G$48,0)</f>
        <v>0</v>
      </c>
      <c r="AL36" s="359">
        <f>IF(AND(C36="Normal uge 1",B36="on"),'Normal uger'!$I$48,0)</f>
        <v>0</v>
      </c>
      <c r="AM36" s="359">
        <f>IF(AND(C36="Normal uge 1",B36="to"),'Normal uger'!$K$48,0)</f>
        <v>0</v>
      </c>
      <c r="AN36" s="359">
        <f>IF(AND(C36="Normal uge 1",B36="fr"),'Normal uger'!$M$48,0)</f>
        <v>0</v>
      </c>
      <c r="AO36" s="360">
        <f>IF(AND(C36="Normal uge 2",B36="ma"),'Normal uger'!$S$48,0)</f>
        <v>0</v>
      </c>
      <c r="AP36" s="360">
        <f>IF(AND(C36="Normal uge 2",B36="ti"),'Normal uger'!$U$48,0)</f>
        <v>0</v>
      </c>
      <c r="AQ36" s="360">
        <f>IF(AND(C36="Normal uge 2",B36="on"),'Normal uger'!$W$48,0)</f>
        <v>0</v>
      </c>
      <c r="AR36" s="360">
        <f>IF(AND(C36="Normal uge 2",B36="to"),'Normal uger'!$Y$48,0)</f>
        <v>0</v>
      </c>
      <c r="AS36" s="360">
        <f>IF(AND(C36="Normal uge 2",B36="fr"),'Normal uger'!$AA$48,0)</f>
        <v>0</v>
      </c>
      <c r="AT36" s="361">
        <f>IF(AND(C36="Normal uge 3",B36="ma"),'Normal uger'!$AG$48,0)</f>
        <v>0</v>
      </c>
      <c r="AU36" s="361">
        <f>IF(AND(C36="Normal uge 3",B36="ti"),'Normal uger'!$AI$48,0)</f>
        <v>0</v>
      </c>
      <c r="AV36" s="361">
        <f>IF(AND(C36="Normal uge 3",B36="on"),'Normal uger'!$AK$48,0)</f>
        <v>0</v>
      </c>
      <c r="AW36" s="361">
        <f>IF(AND(C36="Normal uge 3",B36="to"),'Normal uger'!$AM$48,0)</f>
        <v>0</v>
      </c>
      <c r="AX36" s="361">
        <f>IF(AND(C36="Normal uge 3",B36="fr"),'Normal uger'!$AO$48,0)</f>
        <v>0</v>
      </c>
      <c r="AY36" s="362">
        <f>IF(AND(C36="Normal uge 4",B36="ma"),'Normal uger'!$AU$48,0)</f>
        <v>0</v>
      </c>
      <c r="AZ36" s="362">
        <f>IF(AND(C36="Normal uge 4",B36="ti"),'Normal uger'!$AW$48,0)</f>
        <v>0</v>
      </c>
      <c r="BA36" s="362">
        <f>IF(AND(C36="Normal uge 4",B36="on"),'Normal uger'!$AY$48,0)</f>
        <v>0</v>
      </c>
      <c r="BB36" s="362">
        <f>IF(AND(C36="Normal uge 4",B36="to"),'Normal uger'!$BA$48,0)</f>
        <v>0</v>
      </c>
      <c r="BC36" s="362">
        <f>IF(AND(C36="Normal uge 4",B36="fr"),'Normal uger'!$BC$48,0)</f>
        <v>0</v>
      </c>
      <c r="BD36" s="655">
        <f>IF(AND(C36="Normal uge 5",B36="ma"),'Normal uger'!$BI$48,0)</f>
        <v>0</v>
      </c>
      <c r="BE36" s="655">
        <f>IF(AND(C36="Normal uge 5",B36="ti"),'Normal uger'!$BK$48,0)</f>
        <v>0</v>
      </c>
      <c r="BF36" s="655">
        <f>IF(AND(C36="Normal uge 5",B36="on"),'Normal uger'!$BM$48,0)</f>
        <v>0</v>
      </c>
      <c r="BG36" s="655">
        <f>IF(AND(C36="Normal uge 5",B36="to"),'Normal uger'!$BO$48,0)</f>
        <v>0</v>
      </c>
      <c r="BH36" s="655">
        <f>IF(AND(C36="Normal uge 5",B36="fr"),'Normal uger'!$BQ$48,0)</f>
        <v>0</v>
      </c>
      <c r="BI36" s="654">
        <f>IF(AND(C36="Normal uge 6",B36="ma"),'Normal uger'!$BW$48,0)</f>
        <v>0</v>
      </c>
      <c r="BJ36" s="654">
        <f>IF(AND(C36="Normal uge 6",B36="ti"),'Normal uger'!$BY$48,0)</f>
        <v>0</v>
      </c>
      <c r="BK36" s="654">
        <f>IF(AND(C36="Normal uge 6",B36="on"),'Normal uger'!$CA$48,0)</f>
        <v>0</v>
      </c>
      <c r="BL36" s="654">
        <f>IF(AND(C36="Normal uge 6",B36="to"),'Normal uger'!$CC$48,0)</f>
        <v>0</v>
      </c>
      <c r="BM36" s="654">
        <f>IF(AND(C36="Normal uge 6",B36="fr"),'Normal uger'!$CE$48,0)</f>
        <v>0</v>
      </c>
      <c r="BN36" s="1">
        <f t="shared" si="21"/>
        <v>0</v>
      </c>
      <c r="BO36" s="125">
        <f t="shared" si="4"/>
        <v>0</v>
      </c>
      <c r="BP36" s="358">
        <f t="shared" si="5"/>
        <v>0</v>
      </c>
      <c r="BQ36" s="358">
        <f t="shared" si="22"/>
        <v>0</v>
      </c>
      <c r="BR36" s="358">
        <f t="shared" si="6"/>
        <v>0</v>
      </c>
      <c r="BS36" s="358">
        <f t="shared" si="7"/>
        <v>0</v>
      </c>
      <c r="BT36" s="358">
        <f t="shared" si="8"/>
        <v>0</v>
      </c>
      <c r="BU36" s="358">
        <f>IF(C36="Rul 1",Rul!$E$49,0)</f>
        <v>0</v>
      </c>
      <c r="BV36" s="358">
        <f>IF(C36="Rul 2",Rul!$G$49,0)</f>
        <v>0</v>
      </c>
      <c r="BW36" s="358">
        <f>IF(C36="Rul 3",Rul!$I$49,0)</f>
        <v>0</v>
      </c>
      <c r="BX36" s="358">
        <f>IF(C36="Rul 4",Rul!$K$49,0)</f>
        <v>0</v>
      </c>
      <c r="BY36" s="358">
        <f>IF(C36="Rul 5",Rul!$M$49,0)</f>
        <v>0</v>
      </c>
      <c r="BZ36" s="358">
        <f>IF(C36="Rul 6",Rul!$O$49,0)</f>
        <v>0</v>
      </c>
      <c r="CA36" s="359">
        <f>IF(AND(C36="Normal uge 1",B36="ma"),'Normal uger'!$E$51,0)</f>
        <v>0</v>
      </c>
      <c r="CB36" s="359">
        <f>IF(AND(C36="Normal uge 1",B36="ti"),'Normal uger'!$G$51,0)</f>
        <v>0</v>
      </c>
      <c r="CC36" s="359">
        <f>IF(AND(C36="Normal uge 1",B36="on"),'Normal uger'!$I$51,0)</f>
        <v>0</v>
      </c>
      <c r="CD36" s="359">
        <f>IF(AND(C36="Normal uge 1",B36="to"),'Normal uger'!$K$51,0)</f>
        <v>0</v>
      </c>
      <c r="CE36" s="359">
        <f>IF(AND(C36="Normal uge 1",B36="fr"),'Normal uger'!$M$51,0)</f>
        <v>0</v>
      </c>
      <c r="CF36" s="360">
        <f>IF(AND(C36="Normal uge 2",B36="ma"),'Normal uger'!$S$51,0)</f>
        <v>0</v>
      </c>
      <c r="CG36" s="360">
        <f>IF(AND(C36="Normal uge 2",B36="ti"),'Normal uger'!$U$51,0)</f>
        <v>0</v>
      </c>
      <c r="CH36" s="360">
        <f>IF(AND(C36="Normal uge 2",B36="on"),'Normal uger'!$W$51,0)</f>
        <v>0</v>
      </c>
      <c r="CI36" s="360">
        <f>IF(AND(C36="Normal uge 2",B36="to"),'Normal uger'!$Y$51,0)</f>
        <v>0</v>
      </c>
      <c r="CJ36" s="360">
        <f>IF(AND(C36="Normal uge 2",B36="fr"),'Normal uger'!$AA$51,0)</f>
        <v>0</v>
      </c>
      <c r="CK36" s="361">
        <f>IF(AND(C36="Normal uge 3",B36="ma"),'Normal uger'!$AG$51,0)</f>
        <v>0</v>
      </c>
      <c r="CL36" s="361">
        <f>IF(AND(C36="Normal uge 3",B36="ti"),'Normal uger'!$AI$51,0)</f>
        <v>0</v>
      </c>
      <c r="CM36" s="361">
        <f>IF(AND(C36="Normal uge 3",B36="on"),'Normal uger'!$AK$51,0)</f>
        <v>0</v>
      </c>
      <c r="CN36" s="361">
        <f>IF(AND(C36="Normal uge 3",B36="to"),'Normal uger'!$AM$51,0)</f>
        <v>0</v>
      </c>
      <c r="CO36" s="361">
        <f>IF(AND(C36="Normal uge 3",B36="fr"),'Normal uger'!$AO$51,0)</f>
        <v>0</v>
      </c>
      <c r="CP36" s="362">
        <f>IF(AND(C36="Normal uge 4",B36="ma"),'Normal uger'!$AU$51,0)</f>
        <v>0</v>
      </c>
      <c r="CQ36" s="362">
        <f>IF(AND(C36="Normal uge 4",B36="ti"),'Normal uger'!$AW$51,0)</f>
        <v>0</v>
      </c>
      <c r="CR36" s="362">
        <f>IF(AND(C36="Normal uge 4",B36="on"),'Normal uger'!$AY$51,0)</f>
        <v>0</v>
      </c>
      <c r="CS36" s="362">
        <f>IF(AND(C36="Normal uge 4",B36="to"),'Normal uger'!$BA$51,0)</f>
        <v>0</v>
      </c>
      <c r="CT36" s="362">
        <f>IF(AND(C36="Normal uge 4",B36="fr"),'Normal uger'!$BC$51,0)</f>
        <v>0</v>
      </c>
      <c r="CU36" s="655">
        <f>IF(AND(C36="Normal uge 5",B36="ma"),'Normal uger'!$BI$51,0)</f>
        <v>0</v>
      </c>
      <c r="CV36" s="655">
        <f>IF(AND(C36="Normal uge 5",B36="ti"),'Normal uger'!$BK$51,0)</f>
        <v>0</v>
      </c>
      <c r="CW36" s="655">
        <f>IF(AND(C36="Normal uge 5",B36="on"),'Normal uger'!$BM$51,0)</f>
        <v>0</v>
      </c>
      <c r="CX36" s="655">
        <f>IF(AND(C36="Normal uge 5",B36="to"),'Normal uger'!$BO$51,0)</f>
        <v>0</v>
      </c>
      <c r="CY36" s="655">
        <f>IF(AND(C36="Normal uge 5",B36="fr"),'Normal uger'!$BQ$51,0)</f>
        <v>0</v>
      </c>
      <c r="CZ36" s="654">
        <f>IF(AND(C36="Normal uge 6",B36="ma"),'Normal uger'!$BW$51,0)</f>
        <v>0</v>
      </c>
      <c r="DA36" s="654">
        <f>IF(AND(C36="Normal uge 6",B36="ti"),'Normal uger'!$BY$51,0)</f>
        <v>0</v>
      </c>
      <c r="DB36" s="654">
        <f>IF(AND(C36="Normal uge 6",B36="on"),'Normal uger'!$CA$51,0)</f>
        <v>0</v>
      </c>
      <c r="DC36" s="654">
        <f>IF(AND(C36="Normal uge 6",B36="to"),'Normal uger'!$CC$51,0)</f>
        <v>0</v>
      </c>
      <c r="DD36" s="654">
        <f>IF(AND(C36="Normal uge 6",B36="fr"),'Normal uger'!$CE$51,0)</f>
        <v>0</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23</v>
      </c>
      <c r="B37" s="72" t="str">
        <f t="shared" si="0"/>
        <v>to</v>
      </c>
      <c r="C37" s="73" t="s">
        <v>217</v>
      </c>
      <c r="D37" s="74" t="str">
        <f t="shared" si="1"/>
        <v/>
      </c>
      <c r="E37" s="858"/>
      <c r="F37" s="859"/>
      <c r="G37" s="860"/>
      <c r="H37" s="175"/>
      <c r="I37" s="221"/>
      <c r="J37" s="221"/>
      <c r="K37" s="191">
        <f t="shared" si="14"/>
        <v>0</v>
      </c>
      <c r="L37" s="191">
        <f t="shared" si="15"/>
        <v>0</v>
      </c>
      <c r="M37" s="238"/>
      <c r="N37" s="357"/>
      <c r="O37" s="408"/>
      <c r="P37" s="195"/>
      <c r="Q37" s="196"/>
      <c r="R37" s="196"/>
      <c r="S37" s="192"/>
      <c r="T37" s="255"/>
      <c r="U37" s="193"/>
      <c r="V37">
        <f t="shared" si="16"/>
        <v>0</v>
      </c>
      <c r="W37">
        <f t="shared" si="2"/>
        <v>0</v>
      </c>
      <c r="X37" s="358">
        <f t="shared" si="17"/>
        <v>0</v>
      </c>
      <c r="Y37" s="358">
        <f t="shared" si="18"/>
        <v>0</v>
      </c>
      <c r="Z37" s="358">
        <f t="shared" si="3"/>
        <v>0</v>
      </c>
      <c r="AA37" s="358">
        <f t="shared" si="19"/>
        <v>0</v>
      </c>
      <c r="AB37" s="358">
        <f t="shared" si="20"/>
        <v>0</v>
      </c>
      <c r="AC37" s="358">
        <f>IF(C37="Orlov",Stamoplysninger!$E$21*7.4,0)</f>
        <v>0</v>
      </c>
      <c r="AD37" s="358">
        <f>IF(C37="Rul 1",Rul!$E$46,0)</f>
        <v>0</v>
      </c>
      <c r="AE37" s="358">
        <f>IF(C37="Rul 2",Rul!$G$46,0)</f>
        <v>0</v>
      </c>
      <c r="AF37" s="358">
        <f>IF(C37="Rul 3",Rul!$I$46,0)</f>
        <v>0</v>
      </c>
      <c r="AG37" s="358">
        <f>IF(C37="Rul 4",Rul!$K$46,0)</f>
        <v>0</v>
      </c>
      <c r="AH37" s="358">
        <f>IF(C37="Rul 5",Rul!$M$46,0)</f>
        <v>0</v>
      </c>
      <c r="AI37" s="358">
        <f>IF(C37="Rul 6",Rul!$O$46,0)</f>
        <v>0</v>
      </c>
      <c r="AJ37" s="359">
        <f>IF(AND(C37="Normal uge 1",B37="ma"),'Normal uger'!$E$48,0)</f>
        <v>0</v>
      </c>
      <c r="AK37" s="359">
        <f>IF(AND(C37="Normal uge 1",B37="ti"),'Normal uger'!$G$48,0)</f>
        <v>0</v>
      </c>
      <c r="AL37" s="359">
        <f>IF(AND(C37="Normal uge 1",B37="on"),'Normal uger'!$I$48,0)</f>
        <v>0</v>
      </c>
      <c r="AM37" s="359">
        <f>IF(AND(C37="Normal uge 1",B37="to"),'Normal uger'!$K$48,0)</f>
        <v>0</v>
      </c>
      <c r="AN37" s="359">
        <f>IF(AND(C37="Normal uge 1",B37="fr"),'Normal uger'!$M$48,0)</f>
        <v>0</v>
      </c>
      <c r="AO37" s="360">
        <f>IF(AND(C37="Normal uge 2",B37="ma"),'Normal uger'!$S$48,0)</f>
        <v>0</v>
      </c>
      <c r="AP37" s="360">
        <f>IF(AND(C37="Normal uge 2",B37="ti"),'Normal uger'!$U$48,0)</f>
        <v>0</v>
      </c>
      <c r="AQ37" s="360">
        <f>IF(AND(C37="Normal uge 2",B37="on"),'Normal uger'!$W$48,0)</f>
        <v>0</v>
      </c>
      <c r="AR37" s="360">
        <f>IF(AND(C37="Normal uge 2",B37="to"),'Normal uger'!$Y$48,0)</f>
        <v>0</v>
      </c>
      <c r="AS37" s="360">
        <f>IF(AND(C37="Normal uge 2",B37="fr"),'Normal uger'!$AA$48,0)</f>
        <v>0</v>
      </c>
      <c r="AT37" s="361">
        <f>IF(AND(C37="Normal uge 3",B37="ma"),'Normal uger'!$AG$48,0)</f>
        <v>0</v>
      </c>
      <c r="AU37" s="361">
        <f>IF(AND(C37="Normal uge 3",B37="ti"),'Normal uger'!$AI$48,0)</f>
        <v>0</v>
      </c>
      <c r="AV37" s="361">
        <f>IF(AND(C37="Normal uge 3",B37="on"),'Normal uger'!$AK$48,0)</f>
        <v>0</v>
      </c>
      <c r="AW37" s="361">
        <f>IF(AND(C37="Normal uge 3",B37="to"),'Normal uger'!$AM$48,0)</f>
        <v>0</v>
      </c>
      <c r="AX37" s="361">
        <f>IF(AND(C37="Normal uge 3",B37="fr"),'Normal uger'!$AO$48,0)</f>
        <v>0</v>
      </c>
      <c r="AY37" s="362">
        <f>IF(AND(C37="Normal uge 4",B37="ma"),'Normal uger'!$AU$48,0)</f>
        <v>0</v>
      </c>
      <c r="AZ37" s="362">
        <f>IF(AND(C37="Normal uge 4",B37="ti"),'Normal uger'!$AW$48,0)</f>
        <v>0</v>
      </c>
      <c r="BA37" s="362">
        <f>IF(AND(C37="Normal uge 4",B37="on"),'Normal uger'!$AY$48,0)</f>
        <v>0</v>
      </c>
      <c r="BB37" s="362">
        <f>IF(AND(C37="Normal uge 4",B37="to"),'Normal uger'!$BA$48,0)</f>
        <v>0</v>
      </c>
      <c r="BC37" s="362">
        <f>IF(AND(C37="Normal uge 4",B37="fr"),'Normal uger'!$BC$48,0)</f>
        <v>0</v>
      </c>
      <c r="BD37" s="655">
        <f>IF(AND(C37="Normal uge 5",B37="ma"),'Normal uger'!$BI$48,0)</f>
        <v>0</v>
      </c>
      <c r="BE37" s="655">
        <f>IF(AND(C37="Normal uge 5",B37="ti"),'Normal uger'!$BK$48,0)</f>
        <v>0</v>
      </c>
      <c r="BF37" s="655">
        <f>IF(AND(C37="Normal uge 5",B37="on"),'Normal uger'!$BM$48,0)</f>
        <v>0</v>
      </c>
      <c r="BG37" s="655">
        <f>IF(AND(C37="Normal uge 5",B37="to"),'Normal uger'!$BO$48,0)</f>
        <v>0</v>
      </c>
      <c r="BH37" s="655">
        <f>IF(AND(C37="Normal uge 5",B37="fr"),'Normal uger'!$BQ$48,0)</f>
        <v>0</v>
      </c>
      <c r="BI37" s="654">
        <f>IF(AND(C37="Normal uge 6",B37="ma"),'Normal uger'!$BW$48,0)</f>
        <v>0</v>
      </c>
      <c r="BJ37" s="654">
        <f>IF(AND(C37="Normal uge 6",B37="ti"),'Normal uger'!$BY$48,0)</f>
        <v>0</v>
      </c>
      <c r="BK37" s="654">
        <f>IF(AND(C37="Normal uge 6",B37="on"),'Normal uger'!$CA$48,0)</f>
        <v>0</v>
      </c>
      <c r="BL37" s="654">
        <f>IF(AND(C37="Normal uge 6",B37="to"),'Normal uger'!$CC$48,0)</f>
        <v>0</v>
      </c>
      <c r="BM37" s="654">
        <f>IF(AND(C37="Normal uge 6",B37="fr"),'Normal uger'!$CE$48,0)</f>
        <v>0</v>
      </c>
      <c r="BN37" s="1">
        <f t="shared" si="21"/>
        <v>0</v>
      </c>
      <c r="BO37" s="125">
        <f t="shared" si="4"/>
        <v>0</v>
      </c>
      <c r="BP37" s="358">
        <f t="shared" si="5"/>
        <v>0</v>
      </c>
      <c r="BQ37" s="358">
        <f t="shared" si="22"/>
        <v>0</v>
      </c>
      <c r="BR37" s="358">
        <f t="shared" si="6"/>
        <v>0</v>
      </c>
      <c r="BS37" s="358">
        <f t="shared" si="7"/>
        <v>0</v>
      </c>
      <c r="BT37" s="358">
        <f t="shared" si="8"/>
        <v>0</v>
      </c>
      <c r="BU37" s="358">
        <f>IF(C37="Rul 1",Rul!$E$49,0)</f>
        <v>0</v>
      </c>
      <c r="BV37" s="358">
        <f>IF(C37="Rul 2",Rul!$G$49,0)</f>
        <v>0</v>
      </c>
      <c r="BW37" s="358">
        <f>IF(C37="Rul 3",Rul!$I$49,0)</f>
        <v>0</v>
      </c>
      <c r="BX37" s="358">
        <f>IF(C37="Rul 4",Rul!$K$49,0)</f>
        <v>0</v>
      </c>
      <c r="BY37" s="358">
        <f>IF(C37="Rul 5",Rul!$M$49,0)</f>
        <v>0</v>
      </c>
      <c r="BZ37" s="358">
        <f>IF(C37="Rul 6",Rul!$O$49,0)</f>
        <v>0</v>
      </c>
      <c r="CA37" s="359">
        <f>IF(AND(C37="Normal uge 1",B37="ma"),'Normal uger'!$E$51,0)</f>
        <v>0</v>
      </c>
      <c r="CB37" s="359">
        <f>IF(AND(C37="Normal uge 1",B37="ti"),'Normal uger'!$G$51,0)</f>
        <v>0</v>
      </c>
      <c r="CC37" s="359">
        <f>IF(AND(C37="Normal uge 1",B37="on"),'Normal uger'!$I$51,0)</f>
        <v>0</v>
      </c>
      <c r="CD37" s="359">
        <f>IF(AND(C37="Normal uge 1",B37="to"),'Normal uger'!$K$51,0)</f>
        <v>0</v>
      </c>
      <c r="CE37" s="359">
        <f>IF(AND(C37="Normal uge 1",B37="fr"),'Normal uger'!$M$51,0)</f>
        <v>0</v>
      </c>
      <c r="CF37" s="360">
        <f>IF(AND(C37="Normal uge 2",B37="ma"),'Normal uger'!$S$51,0)</f>
        <v>0</v>
      </c>
      <c r="CG37" s="360">
        <f>IF(AND(C37="Normal uge 2",B37="ti"),'Normal uger'!$U$51,0)</f>
        <v>0</v>
      </c>
      <c r="CH37" s="360">
        <f>IF(AND(C37="Normal uge 2",B37="on"),'Normal uger'!$W$51,0)</f>
        <v>0</v>
      </c>
      <c r="CI37" s="360">
        <f>IF(AND(C37="Normal uge 2",B37="to"),'Normal uger'!$Y$51,0)</f>
        <v>0</v>
      </c>
      <c r="CJ37" s="360">
        <f>IF(AND(C37="Normal uge 2",B37="fr"),'Normal uger'!$AA$51,0)</f>
        <v>0</v>
      </c>
      <c r="CK37" s="361">
        <f>IF(AND(C37="Normal uge 3",B37="ma"),'Normal uger'!$AG$51,0)</f>
        <v>0</v>
      </c>
      <c r="CL37" s="361">
        <f>IF(AND(C37="Normal uge 3",B37="ti"),'Normal uger'!$AI$51,0)</f>
        <v>0</v>
      </c>
      <c r="CM37" s="361">
        <f>IF(AND(C37="Normal uge 3",B37="on"),'Normal uger'!$AK$51,0)</f>
        <v>0</v>
      </c>
      <c r="CN37" s="361">
        <f>IF(AND(C37="Normal uge 3",B37="to"),'Normal uger'!$AM$51,0)</f>
        <v>0</v>
      </c>
      <c r="CO37" s="361">
        <f>IF(AND(C37="Normal uge 3",B37="fr"),'Normal uger'!$AO$51,0)</f>
        <v>0</v>
      </c>
      <c r="CP37" s="362">
        <f>IF(AND(C37="Normal uge 4",B37="ma"),'Normal uger'!$AU$51,0)</f>
        <v>0</v>
      </c>
      <c r="CQ37" s="362">
        <f>IF(AND(C37="Normal uge 4",B37="ti"),'Normal uger'!$AW$51,0)</f>
        <v>0</v>
      </c>
      <c r="CR37" s="362">
        <f>IF(AND(C37="Normal uge 4",B37="on"),'Normal uger'!$AY$51,0)</f>
        <v>0</v>
      </c>
      <c r="CS37" s="362">
        <f>IF(AND(C37="Normal uge 4",B37="to"),'Normal uger'!$BA$51,0)</f>
        <v>0</v>
      </c>
      <c r="CT37" s="362">
        <f>IF(AND(C37="Normal uge 4",B37="fr"),'Normal uger'!$BC$51,0)</f>
        <v>0</v>
      </c>
      <c r="CU37" s="655">
        <f>IF(AND(C37="Normal uge 5",B37="ma"),'Normal uger'!$BI$51,0)</f>
        <v>0</v>
      </c>
      <c r="CV37" s="655">
        <f>IF(AND(C37="Normal uge 5",B37="ti"),'Normal uger'!$BK$51,0)</f>
        <v>0</v>
      </c>
      <c r="CW37" s="655">
        <f>IF(AND(C37="Normal uge 5",B37="on"),'Normal uger'!$BM$51,0)</f>
        <v>0</v>
      </c>
      <c r="CX37" s="655">
        <f>IF(AND(C37="Normal uge 5",B37="to"),'Normal uger'!$BO$51,0)</f>
        <v>0</v>
      </c>
      <c r="CY37" s="655">
        <f>IF(AND(C37="Normal uge 5",B37="fr"),'Normal uger'!$BQ$51,0)</f>
        <v>0</v>
      </c>
      <c r="CZ37" s="654">
        <f>IF(AND(C37="Normal uge 6",B37="ma"),'Normal uger'!$BW$51,0)</f>
        <v>0</v>
      </c>
      <c r="DA37" s="654">
        <f>IF(AND(C37="Normal uge 6",B37="ti"),'Normal uger'!$BY$51,0)</f>
        <v>0</v>
      </c>
      <c r="DB37" s="654">
        <f>IF(AND(C37="Normal uge 6",B37="on"),'Normal uger'!$CA$51,0)</f>
        <v>0</v>
      </c>
      <c r="DC37" s="654">
        <f>IF(AND(C37="Normal uge 6",B37="to"),'Normal uger'!$CC$51,0)</f>
        <v>0</v>
      </c>
      <c r="DD37" s="654">
        <f>IF(AND(C37="Normal uge 6",B37="fr"),'Normal uger'!$CE$51,0)</f>
        <v>0</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 t="shared" si="13"/>
        <v>24</v>
      </c>
      <c r="B38" s="72" t="str">
        <f t="shared" si="0"/>
        <v>fr</v>
      </c>
      <c r="C38" s="73" t="s">
        <v>217</v>
      </c>
      <c r="D38" s="74" t="str">
        <f t="shared" si="1"/>
        <v/>
      </c>
      <c r="E38" s="861"/>
      <c r="F38" s="862"/>
      <c r="G38" s="863"/>
      <c r="H38" s="175"/>
      <c r="I38" s="221"/>
      <c r="J38" s="221"/>
      <c r="K38" s="191">
        <f t="shared" si="14"/>
        <v>0</v>
      </c>
      <c r="L38" s="191">
        <f t="shared" si="15"/>
        <v>0</v>
      </c>
      <c r="M38" s="238"/>
      <c r="N38" s="357"/>
      <c r="O38" s="408"/>
      <c r="P38" s="195"/>
      <c r="Q38" s="196"/>
      <c r="R38" s="196"/>
      <c r="S38" s="192"/>
      <c r="T38" s="255"/>
      <c r="U38" s="193"/>
      <c r="V38">
        <f t="shared" si="16"/>
        <v>0</v>
      </c>
      <c r="W38">
        <f t="shared" si="2"/>
        <v>0</v>
      </c>
      <c r="X38" s="358">
        <f t="shared" si="17"/>
        <v>0</v>
      </c>
      <c r="Y38" s="358">
        <f t="shared" si="18"/>
        <v>0</v>
      </c>
      <c r="Z38" s="358">
        <f t="shared" si="3"/>
        <v>0</v>
      </c>
      <c r="AA38" s="358">
        <f t="shared" si="19"/>
        <v>0</v>
      </c>
      <c r="AB38" s="358">
        <f t="shared" si="20"/>
        <v>0</v>
      </c>
      <c r="AC38" s="358">
        <f>IF(C38="Orlov",Stamoplysninger!$E$21*7.4,0)</f>
        <v>0</v>
      </c>
      <c r="AD38" s="358">
        <f>IF(C38="Rul 1",Rul!$E$46,0)</f>
        <v>0</v>
      </c>
      <c r="AE38" s="358">
        <f>IF(C38="Rul 2",Rul!$G$46,0)</f>
        <v>0</v>
      </c>
      <c r="AF38" s="358">
        <f>IF(C38="Rul 3",Rul!$I$46,0)</f>
        <v>0</v>
      </c>
      <c r="AG38" s="358">
        <f>IF(C38="Rul 4",Rul!$K$46,0)</f>
        <v>0</v>
      </c>
      <c r="AH38" s="358">
        <f>IF(C38="Rul 5",Rul!$M$46,0)</f>
        <v>0</v>
      </c>
      <c r="AI38" s="358">
        <f>IF(C38="Rul 6",Rul!$O$46,0)</f>
        <v>0</v>
      </c>
      <c r="AJ38" s="359">
        <f>IF(AND(C38="Normal uge 1",B38="ma"),'Normal uger'!$E$48,0)</f>
        <v>0</v>
      </c>
      <c r="AK38" s="359">
        <f>IF(AND(C38="Normal uge 1",B38="ti"),'Normal uger'!$G$48,0)</f>
        <v>0</v>
      </c>
      <c r="AL38" s="359">
        <f>IF(AND(C38="Normal uge 1",B38="on"),'Normal uger'!$I$48,0)</f>
        <v>0</v>
      </c>
      <c r="AM38" s="359">
        <f>IF(AND(C38="Normal uge 1",B38="to"),'Normal uger'!$K$48,0)</f>
        <v>0</v>
      </c>
      <c r="AN38" s="359">
        <f>IF(AND(C38="Normal uge 1",B38="fr"),'Normal uger'!$M$48,0)</f>
        <v>0</v>
      </c>
      <c r="AO38" s="360">
        <f>IF(AND(C38="Normal uge 2",B38="ma"),'Normal uger'!$S$48,0)</f>
        <v>0</v>
      </c>
      <c r="AP38" s="360">
        <f>IF(AND(C38="Normal uge 2",B38="ti"),'Normal uger'!$U$48,0)</f>
        <v>0</v>
      </c>
      <c r="AQ38" s="360">
        <f>IF(AND(C38="Normal uge 2",B38="on"),'Normal uger'!$W$48,0)</f>
        <v>0</v>
      </c>
      <c r="AR38" s="360">
        <f>IF(AND(C38="Normal uge 2",B38="to"),'Normal uger'!$Y$48,0)</f>
        <v>0</v>
      </c>
      <c r="AS38" s="360">
        <f>IF(AND(C38="Normal uge 2",B38="fr"),'Normal uger'!$AA$48,0)</f>
        <v>0</v>
      </c>
      <c r="AT38" s="361">
        <f>IF(AND(C38="Normal uge 3",B38="ma"),'Normal uger'!$AG$48,0)</f>
        <v>0</v>
      </c>
      <c r="AU38" s="361">
        <f>IF(AND(C38="Normal uge 3",B38="ti"),'Normal uger'!$AI$48,0)</f>
        <v>0</v>
      </c>
      <c r="AV38" s="361">
        <f>IF(AND(C38="Normal uge 3",B38="on"),'Normal uger'!$AK$48,0)</f>
        <v>0</v>
      </c>
      <c r="AW38" s="361">
        <f>IF(AND(C38="Normal uge 3",B38="to"),'Normal uger'!$AM$48,0)</f>
        <v>0</v>
      </c>
      <c r="AX38" s="361">
        <f>IF(AND(C38="Normal uge 3",B38="fr"),'Normal uger'!$AO$48,0)</f>
        <v>0</v>
      </c>
      <c r="AY38" s="362">
        <f>IF(AND(C38="Normal uge 4",B38="ma"),'Normal uger'!$AU$48,0)</f>
        <v>0</v>
      </c>
      <c r="AZ38" s="362">
        <f>IF(AND(C38="Normal uge 4",B38="ti"),'Normal uger'!$AW$48,0)</f>
        <v>0</v>
      </c>
      <c r="BA38" s="362">
        <f>IF(AND(C38="Normal uge 4",B38="on"),'Normal uger'!$AY$48,0)</f>
        <v>0</v>
      </c>
      <c r="BB38" s="362">
        <f>IF(AND(C38="Normal uge 4",B38="to"),'Normal uger'!$BA$48,0)</f>
        <v>0</v>
      </c>
      <c r="BC38" s="362">
        <f>IF(AND(C38="Normal uge 4",B38="fr"),'Normal uger'!$BC$48,0)</f>
        <v>0</v>
      </c>
      <c r="BD38" s="655">
        <f>IF(AND(C38="Normal uge 5",B38="ma"),'Normal uger'!$BI$48,0)</f>
        <v>0</v>
      </c>
      <c r="BE38" s="655">
        <f>IF(AND(C38="Normal uge 5",B38="ti"),'Normal uger'!$BK$48,0)</f>
        <v>0</v>
      </c>
      <c r="BF38" s="655">
        <f>IF(AND(C38="Normal uge 5",B38="on"),'Normal uger'!$BM$48,0)</f>
        <v>0</v>
      </c>
      <c r="BG38" s="655">
        <f>IF(AND(C38="Normal uge 5",B38="to"),'Normal uger'!$BO$48,0)</f>
        <v>0</v>
      </c>
      <c r="BH38" s="655">
        <f>IF(AND(C38="Normal uge 5",B38="fr"),'Normal uger'!$BQ$48,0)</f>
        <v>0</v>
      </c>
      <c r="BI38" s="654">
        <f>IF(AND(C38="Normal uge 6",B38="ma"),'Normal uger'!$BW$48,0)</f>
        <v>0</v>
      </c>
      <c r="BJ38" s="654">
        <f>IF(AND(C38="Normal uge 6",B38="ti"),'Normal uger'!$BY$48,0)</f>
        <v>0</v>
      </c>
      <c r="BK38" s="654">
        <f>IF(AND(C38="Normal uge 6",B38="on"),'Normal uger'!$CA$48,0)</f>
        <v>0</v>
      </c>
      <c r="BL38" s="654">
        <f>IF(AND(C38="Normal uge 6",B38="to"),'Normal uger'!$CC$48,0)</f>
        <v>0</v>
      </c>
      <c r="BM38" s="654">
        <f>IF(AND(C38="Normal uge 6",B38="fr"),'Normal uger'!$CE$48,0)</f>
        <v>0</v>
      </c>
      <c r="BN38" s="1">
        <f t="shared" si="21"/>
        <v>0</v>
      </c>
      <c r="BO38" s="125">
        <f t="shared" si="4"/>
        <v>0</v>
      </c>
      <c r="BP38" s="358">
        <f t="shared" si="5"/>
        <v>0</v>
      </c>
      <c r="BQ38" s="358">
        <f t="shared" si="22"/>
        <v>0</v>
      </c>
      <c r="BR38" s="358">
        <f t="shared" si="6"/>
        <v>0</v>
      </c>
      <c r="BS38" s="358">
        <f t="shared" si="7"/>
        <v>0</v>
      </c>
      <c r="BT38" s="358">
        <f t="shared" si="8"/>
        <v>0</v>
      </c>
      <c r="BU38" s="358">
        <f>IF(C38="Rul 1",Rul!$E$49,0)</f>
        <v>0</v>
      </c>
      <c r="BV38" s="358">
        <f>IF(C38="Rul 2",Rul!$G$49,0)</f>
        <v>0</v>
      </c>
      <c r="BW38" s="358">
        <f>IF(C38="Rul 3",Rul!$I$49,0)</f>
        <v>0</v>
      </c>
      <c r="BX38" s="358">
        <f>IF(C38="Rul 4",Rul!$K$49,0)</f>
        <v>0</v>
      </c>
      <c r="BY38" s="358">
        <f>IF(C38="Rul 5",Rul!$M$49,0)</f>
        <v>0</v>
      </c>
      <c r="BZ38" s="358">
        <f>IF(C38="Rul 6",Rul!$O$49,0)</f>
        <v>0</v>
      </c>
      <c r="CA38" s="359">
        <f>IF(AND(C38="Normal uge 1",B38="ma"),'Normal uger'!$E$51,0)</f>
        <v>0</v>
      </c>
      <c r="CB38" s="359">
        <f>IF(AND(C38="Normal uge 1",B38="ti"),'Normal uger'!$G$51,0)</f>
        <v>0</v>
      </c>
      <c r="CC38" s="359">
        <f>IF(AND(C38="Normal uge 1",B38="on"),'Normal uger'!$I$51,0)</f>
        <v>0</v>
      </c>
      <c r="CD38" s="359">
        <f>IF(AND(C38="Normal uge 1",B38="to"),'Normal uger'!$K$51,0)</f>
        <v>0</v>
      </c>
      <c r="CE38" s="359">
        <f>IF(AND(C38="Normal uge 1",B38="fr"),'Normal uger'!$M$51,0)</f>
        <v>0</v>
      </c>
      <c r="CF38" s="360">
        <f>IF(AND(C38="Normal uge 2",B38="ma"),'Normal uger'!$S$51,0)</f>
        <v>0</v>
      </c>
      <c r="CG38" s="360">
        <f>IF(AND(C38="Normal uge 2",B38="ti"),'Normal uger'!$U$51,0)</f>
        <v>0</v>
      </c>
      <c r="CH38" s="360">
        <f>IF(AND(C38="Normal uge 2",B38="on"),'Normal uger'!$W$51,0)</f>
        <v>0</v>
      </c>
      <c r="CI38" s="360">
        <f>IF(AND(C38="Normal uge 2",B38="to"),'Normal uger'!$Y$51,0)</f>
        <v>0</v>
      </c>
      <c r="CJ38" s="360">
        <f>IF(AND(C38="Normal uge 2",B38="fr"),'Normal uger'!$AA$51,0)</f>
        <v>0</v>
      </c>
      <c r="CK38" s="361">
        <f>IF(AND(C38="Normal uge 3",B38="ma"),'Normal uger'!$AG$51,0)</f>
        <v>0</v>
      </c>
      <c r="CL38" s="361">
        <f>IF(AND(C38="Normal uge 3",B38="ti"),'Normal uger'!$AI$51,0)</f>
        <v>0</v>
      </c>
      <c r="CM38" s="361">
        <f>IF(AND(C38="Normal uge 3",B38="on"),'Normal uger'!$AK$51,0)</f>
        <v>0</v>
      </c>
      <c r="CN38" s="361">
        <f>IF(AND(C38="Normal uge 3",B38="to"),'Normal uger'!$AM$51,0)</f>
        <v>0</v>
      </c>
      <c r="CO38" s="361">
        <f>IF(AND(C38="Normal uge 3",B38="fr"),'Normal uger'!$AO$51,0)</f>
        <v>0</v>
      </c>
      <c r="CP38" s="362">
        <f>IF(AND(C38="Normal uge 4",B38="ma"),'Normal uger'!$AU$51,0)</f>
        <v>0</v>
      </c>
      <c r="CQ38" s="362">
        <f>IF(AND(C38="Normal uge 4",B38="ti"),'Normal uger'!$AW$51,0)</f>
        <v>0</v>
      </c>
      <c r="CR38" s="362">
        <f>IF(AND(C38="Normal uge 4",B38="on"),'Normal uger'!$AY$51,0)</f>
        <v>0</v>
      </c>
      <c r="CS38" s="362">
        <f>IF(AND(C38="Normal uge 4",B38="to"),'Normal uger'!$BA$51,0)</f>
        <v>0</v>
      </c>
      <c r="CT38" s="362">
        <f>IF(AND(C38="Normal uge 4",B38="fr"),'Normal uger'!$BC$51,0)</f>
        <v>0</v>
      </c>
      <c r="CU38" s="655">
        <f>IF(AND(C38="Normal uge 5",B38="ma"),'Normal uger'!$BI$51,0)</f>
        <v>0</v>
      </c>
      <c r="CV38" s="655">
        <f>IF(AND(C38="Normal uge 5",B38="ti"),'Normal uger'!$BK$51,0)</f>
        <v>0</v>
      </c>
      <c r="CW38" s="655">
        <f>IF(AND(C38="Normal uge 5",B38="on"),'Normal uger'!$BM$51,0)</f>
        <v>0</v>
      </c>
      <c r="CX38" s="655">
        <f>IF(AND(C38="Normal uge 5",B38="to"),'Normal uger'!$BO$51,0)</f>
        <v>0</v>
      </c>
      <c r="CY38" s="655">
        <f>IF(AND(C38="Normal uge 5",B38="fr"),'Normal uger'!$BQ$51,0)</f>
        <v>0</v>
      </c>
      <c r="CZ38" s="654">
        <f>IF(AND(C38="Normal uge 6",B38="ma"),'Normal uger'!$BW$51,0)</f>
        <v>0</v>
      </c>
      <c r="DA38" s="654">
        <f>IF(AND(C38="Normal uge 6",B38="ti"),'Normal uger'!$BY$51,0)</f>
        <v>0</v>
      </c>
      <c r="DB38" s="654">
        <f>IF(AND(C38="Normal uge 6",B38="on"),'Normal uger'!$CA$51,0)</f>
        <v>0</v>
      </c>
      <c r="DC38" s="654">
        <f>IF(AND(C38="Normal uge 6",B38="to"),'Normal uger'!$CC$51,0)</f>
        <v>0</v>
      </c>
      <c r="DD38" s="654">
        <f>IF(AND(C38="Normal uge 6",B38="fr"),'Normal uger'!$CE$51,0)</f>
        <v>0</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25</v>
      </c>
      <c r="B39" s="72" t="str">
        <f t="shared" si="0"/>
        <v>lø</v>
      </c>
      <c r="C39" s="73" t="s">
        <v>77</v>
      </c>
      <c r="D39" s="74" t="str">
        <f t="shared" si="1"/>
        <v/>
      </c>
      <c r="E39" s="858"/>
      <c r="F39" s="859"/>
      <c r="G39" s="860"/>
      <c r="H39" s="175"/>
      <c r="I39" s="221"/>
      <c r="J39" s="221"/>
      <c r="K39" s="191">
        <f t="shared" si="14"/>
        <v>0</v>
      </c>
      <c r="L39" s="191">
        <f t="shared" si="15"/>
        <v>0</v>
      </c>
      <c r="M39" s="238"/>
      <c r="N39" s="357"/>
      <c r="O39" s="408"/>
      <c r="P39" s="195"/>
      <c r="Q39" s="196"/>
      <c r="R39" s="196"/>
      <c r="S39" s="192"/>
      <c r="T39" s="255"/>
      <c r="U39" s="193"/>
      <c r="V39">
        <f t="shared" si="16"/>
        <v>0</v>
      </c>
      <c r="W39">
        <f t="shared" si="2"/>
        <v>0</v>
      </c>
      <c r="X39" s="358">
        <f t="shared" si="17"/>
        <v>0</v>
      </c>
      <c r="Y39" s="358">
        <f t="shared" si="18"/>
        <v>0</v>
      </c>
      <c r="Z39" s="358">
        <f t="shared" si="3"/>
        <v>0</v>
      </c>
      <c r="AA39" s="358">
        <f t="shared" si="19"/>
        <v>0</v>
      </c>
      <c r="AB39" s="358">
        <f t="shared" si="20"/>
        <v>0</v>
      </c>
      <c r="AC39" s="358">
        <f>IF(C39="Orlov",Stamoplysninger!$E$21*7.4,0)</f>
        <v>0</v>
      </c>
      <c r="AD39" s="358">
        <f>IF(C39="Rul 1",Rul!$E$46,0)</f>
        <v>0</v>
      </c>
      <c r="AE39" s="358">
        <f>IF(C39="Rul 2",Rul!$G$46,0)</f>
        <v>0</v>
      </c>
      <c r="AF39" s="358">
        <f>IF(C39="Rul 3",Rul!$I$46,0)</f>
        <v>0</v>
      </c>
      <c r="AG39" s="358">
        <f>IF(C39="Rul 4",Rul!$K$46,0)</f>
        <v>0</v>
      </c>
      <c r="AH39" s="358">
        <f>IF(C39="Rul 5",Rul!$M$46,0)</f>
        <v>0</v>
      </c>
      <c r="AI39" s="358">
        <f>IF(C39="Rul 6",Rul!$O$46,0)</f>
        <v>0</v>
      </c>
      <c r="AJ39" s="359">
        <f>IF(AND(C39="Normal uge 1",B39="ma"),'Normal uger'!$E$48,0)</f>
        <v>0</v>
      </c>
      <c r="AK39" s="359">
        <f>IF(AND(C39="Normal uge 1",B39="ti"),'Normal uger'!$G$48,0)</f>
        <v>0</v>
      </c>
      <c r="AL39" s="359">
        <f>IF(AND(C39="Normal uge 1",B39="on"),'Normal uger'!$I$48,0)</f>
        <v>0</v>
      </c>
      <c r="AM39" s="359">
        <f>IF(AND(C39="Normal uge 1",B39="to"),'Normal uger'!$K$48,0)</f>
        <v>0</v>
      </c>
      <c r="AN39" s="359">
        <f>IF(AND(C39="Normal uge 1",B39="fr"),'Normal uger'!$M$48,0)</f>
        <v>0</v>
      </c>
      <c r="AO39" s="360">
        <f>IF(AND(C39="Normal uge 2",B39="ma"),'Normal uger'!$S$48,0)</f>
        <v>0</v>
      </c>
      <c r="AP39" s="360">
        <f>IF(AND(C39="Normal uge 2",B39="ti"),'Normal uger'!$U$48,0)</f>
        <v>0</v>
      </c>
      <c r="AQ39" s="360">
        <f>IF(AND(C39="Normal uge 2",B39="on"),'Normal uger'!$W$48,0)</f>
        <v>0</v>
      </c>
      <c r="AR39" s="360">
        <f>IF(AND(C39="Normal uge 2",B39="to"),'Normal uger'!$Y$48,0)</f>
        <v>0</v>
      </c>
      <c r="AS39" s="360">
        <f>IF(AND(C39="Normal uge 2",B39="fr"),'Normal uger'!$AA$48,0)</f>
        <v>0</v>
      </c>
      <c r="AT39" s="361">
        <f>IF(AND(C39="Normal uge 3",B39="ma"),'Normal uger'!$AG$48,0)</f>
        <v>0</v>
      </c>
      <c r="AU39" s="361">
        <f>IF(AND(C39="Normal uge 3",B39="ti"),'Normal uger'!$AI$48,0)</f>
        <v>0</v>
      </c>
      <c r="AV39" s="361">
        <f>IF(AND(C39="Normal uge 3",B39="on"),'Normal uger'!$AK$48,0)</f>
        <v>0</v>
      </c>
      <c r="AW39" s="361">
        <f>IF(AND(C39="Normal uge 3",B39="to"),'Normal uger'!$AM$48,0)</f>
        <v>0</v>
      </c>
      <c r="AX39" s="361">
        <f>IF(AND(C39="Normal uge 3",B39="fr"),'Normal uger'!$AO$48,0)</f>
        <v>0</v>
      </c>
      <c r="AY39" s="362">
        <f>IF(AND(C39="Normal uge 4",B39="ma"),'Normal uger'!$AU$48,0)</f>
        <v>0</v>
      </c>
      <c r="AZ39" s="362">
        <f>IF(AND(C39="Normal uge 4",B39="ti"),'Normal uger'!$AW$48,0)</f>
        <v>0</v>
      </c>
      <c r="BA39" s="362">
        <f>IF(AND(C39="Normal uge 4",B39="on"),'Normal uger'!$AY$48,0)</f>
        <v>0</v>
      </c>
      <c r="BB39" s="362">
        <f>IF(AND(C39="Normal uge 4",B39="to"),'Normal uger'!$BA$48,0)</f>
        <v>0</v>
      </c>
      <c r="BC39" s="362">
        <f>IF(AND(C39="Normal uge 4",B39="fr"),'Normal uger'!$BC$48,0)</f>
        <v>0</v>
      </c>
      <c r="BD39" s="655">
        <f>IF(AND(C39="Normal uge 5",B39="ma"),'Normal uger'!$BI$48,0)</f>
        <v>0</v>
      </c>
      <c r="BE39" s="655">
        <f>IF(AND(C39="Normal uge 5",B39="ti"),'Normal uger'!$BK$48,0)</f>
        <v>0</v>
      </c>
      <c r="BF39" s="655">
        <f>IF(AND(C39="Normal uge 5",B39="on"),'Normal uger'!$BM$48,0)</f>
        <v>0</v>
      </c>
      <c r="BG39" s="655">
        <f>IF(AND(C39="Normal uge 5",B39="to"),'Normal uger'!$BO$48,0)</f>
        <v>0</v>
      </c>
      <c r="BH39" s="655">
        <f>IF(AND(C39="Normal uge 5",B39="fr"),'Normal uger'!$BQ$48,0)</f>
        <v>0</v>
      </c>
      <c r="BI39" s="654">
        <f>IF(AND(C39="Normal uge 6",B39="ma"),'Normal uger'!$BW$48,0)</f>
        <v>0</v>
      </c>
      <c r="BJ39" s="654">
        <f>IF(AND(C39="Normal uge 6",B39="ti"),'Normal uger'!$BY$48,0)</f>
        <v>0</v>
      </c>
      <c r="BK39" s="654">
        <f>IF(AND(C39="Normal uge 6",B39="on"),'Normal uger'!$CA$48,0)</f>
        <v>0</v>
      </c>
      <c r="BL39" s="654">
        <f>IF(AND(C39="Normal uge 6",B39="to"),'Normal uger'!$CC$48,0)</f>
        <v>0</v>
      </c>
      <c r="BM39" s="654">
        <f>IF(AND(C39="Normal uge 6",B39="fr"),'Normal uger'!$CE$48,0)</f>
        <v>0</v>
      </c>
      <c r="BN39" s="1">
        <f t="shared" si="21"/>
        <v>0</v>
      </c>
      <c r="BO39" s="125">
        <f t="shared" si="4"/>
        <v>0</v>
      </c>
      <c r="BP39" s="358">
        <f t="shared" si="5"/>
        <v>0</v>
      </c>
      <c r="BQ39" s="358">
        <f t="shared" si="22"/>
        <v>0</v>
      </c>
      <c r="BR39" s="358">
        <f t="shared" si="6"/>
        <v>0</v>
      </c>
      <c r="BS39" s="358">
        <f t="shared" si="7"/>
        <v>0</v>
      </c>
      <c r="BT39" s="358">
        <f t="shared" si="8"/>
        <v>0</v>
      </c>
      <c r="BU39" s="358">
        <f>IF(C39="Rul 1",Rul!$E$49,0)</f>
        <v>0</v>
      </c>
      <c r="BV39" s="358">
        <f>IF(C39="Rul 2",Rul!$G$49,0)</f>
        <v>0</v>
      </c>
      <c r="BW39" s="358">
        <f>IF(C39="Rul 3",Rul!$I$49,0)</f>
        <v>0</v>
      </c>
      <c r="BX39" s="358">
        <f>IF(C39="Rul 4",Rul!$K$49,0)</f>
        <v>0</v>
      </c>
      <c r="BY39" s="358">
        <f>IF(C39="Rul 5",Rul!$M$49,0)</f>
        <v>0</v>
      </c>
      <c r="BZ39" s="358">
        <f>IF(C39="Rul 6",Rul!$O$49,0)</f>
        <v>0</v>
      </c>
      <c r="CA39" s="359">
        <f>IF(AND(C39="Normal uge 1",B39="ma"),'Normal uger'!$E$51,0)</f>
        <v>0</v>
      </c>
      <c r="CB39" s="359">
        <f>IF(AND(C39="Normal uge 1",B39="ti"),'Normal uger'!$G$51,0)</f>
        <v>0</v>
      </c>
      <c r="CC39" s="359">
        <f>IF(AND(C39="Normal uge 1",B39="on"),'Normal uger'!$I$51,0)</f>
        <v>0</v>
      </c>
      <c r="CD39" s="359">
        <f>IF(AND(C39="Normal uge 1",B39="to"),'Normal uger'!$K$51,0)</f>
        <v>0</v>
      </c>
      <c r="CE39" s="359">
        <f>IF(AND(C39="Normal uge 1",B39="fr"),'Normal uger'!$M$51,0)</f>
        <v>0</v>
      </c>
      <c r="CF39" s="360">
        <f>IF(AND(C39="Normal uge 2",B39="ma"),'Normal uger'!$S$51,0)</f>
        <v>0</v>
      </c>
      <c r="CG39" s="360">
        <f>IF(AND(C39="Normal uge 2",B39="ti"),'Normal uger'!$U$51,0)</f>
        <v>0</v>
      </c>
      <c r="CH39" s="360">
        <f>IF(AND(C39="Normal uge 2",B39="on"),'Normal uger'!$W$51,0)</f>
        <v>0</v>
      </c>
      <c r="CI39" s="360">
        <f>IF(AND(C39="Normal uge 2",B39="to"),'Normal uger'!$Y$51,0)</f>
        <v>0</v>
      </c>
      <c r="CJ39" s="360">
        <f>IF(AND(C39="Normal uge 2",B39="fr"),'Normal uger'!$AA$51,0)</f>
        <v>0</v>
      </c>
      <c r="CK39" s="361">
        <f>IF(AND(C39="Normal uge 3",B39="ma"),'Normal uger'!$AG$51,0)</f>
        <v>0</v>
      </c>
      <c r="CL39" s="361">
        <f>IF(AND(C39="Normal uge 3",B39="ti"),'Normal uger'!$AI$51,0)</f>
        <v>0</v>
      </c>
      <c r="CM39" s="361">
        <f>IF(AND(C39="Normal uge 3",B39="on"),'Normal uger'!$AK$51,0)</f>
        <v>0</v>
      </c>
      <c r="CN39" s="361">
        <f>IF(AND(C39="Normal uge 3",B39="to"),'Normal uger'!$AM$51,0)</f>
        <v>0</v>
      </c>
      <c r="CO39" s="361">
        <f>IF(AND(C39="Normal uge 3",B39="fr"),'Normal uger'!$AO$51,0)</f>
        <v>0</v>
      </c>
      <c r="CP39" s="362">
        <f>IF(AND(C39="Normal uge 4",B39="ma"),'Normal uger'!$AU$51,0)</f>
        <v>0</v>
      </c>
      <c r="CQ39" s="362">
        <f>IF(AND(C39="Normal uge 4",B39="ti"),'Normal uger'!$AW$51,0)</f>
        <v>0</v>
      </c>
      <c r="CR39" s="362">
        <f>IF(AND(C39="Normal uge 4",B39="on"),'Normal uger'!$AY$51,0)</f>
        <v>0</v>
      </c>
      <c r="CS39" s="362">
        <f>IF(AND(C39="Normal uge 4",B39="to"),'Normal uger'!$BA$51,0)</f>
        <v>0</v>
      </c>
      <c r="CT39" s="362">
        <f>IF(AND(C39="Normal uge 4",B39="fr"),'Normal uger'!$BC$51,0)</f>
        <v>0</v>
      </c>
      <c r="CU39" s="655">
        <f>IF(AND(C39="Normal uge 5",B39="ma"),'Normal uger'!$BI$51,0)</f>
        <v>0</v>
      </c>
      <c r="CV39" s="655">
        <f>IF(AND(C39="Normal uge 5",B39="ti"),'Normal uger'!$BK$51,0)</f>
        <v>0</v>
      </c>
      <c r="CW39" s="655">
        <f>IF(AND(C39="Normal uge 5",B39="on"),'Normal uger'!$BM$51,0)</f>
        <v>0</v>
      </c>
      <c r="CX39" s="655">
        <f>IF(AND(C39="Normal uge 5",B39="to"),'Normal uger'!$BO$51,0)</f>
        <v>0</v>
      </c>
      <c r="CY39" s="655">
        <f>IF(AND(C39="Normal uge 5",B39="fr"),'Normal uger'!$BQ$51,0)</f>
        <v>0</v>
      </c>
      <c r="CZ39" s="654">
        <f>IF(AND(C39="Normal uge 6",B39="ma"),'Normal uger'!$BW$51,0)</f>
        <v>0</v>
      </c>
      <c r="DA39" s="654">
        <f>IF(AND(C39="Normal uge 6",B39="ti"),'Normal uger'!$BY$51,0)</f>
        <v>0</v>
      </c>
      <c r="DB39" s="654">
        <f>IF(AND(C39="Normal uge 6",B39="on"),'Normal uger'!$CA$51,0)</f>
        <v>0</v>
      </c>
      <c r="DC39" s="654">
        <f>IF(AND(C39="Normal uge 6",B39="to"),'Normal uger'!$CC$51,0)</f>
        <v>0</v>
      </c>
      <c r="DD39" s="654">
        <f>IF(AND(C39="Normal uge 6",B39="fr"),'Normal uger'!$CE$51,0)</f>
        <v>0</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 t="shared" si="13"/>
        <v>26</v>
      </c>
      <c r="B40" s="72" t="str">
        <f t="shared" si="0"/>
        <v>sø</v>
      </c>
      <c r="C40" s="73" t="s">
        <v>77</v>
      </c>
      <c r="D40" s="74" t="str">
        <f t="shared" si="1"/>
        <v/>
      </c>
      <c r="E40" s="858"/>
      <c r="F40" s="859"/>
      <c r="G40" s="860"/>
      <c r="H40" s="175"/>
      <c r="I40" s="221"/>
      <c r="J40" s="221"/>
      <c r="K40" s="191">
        <f t="shared" si="14"/>
        <v>0</v>
      </c>
      <c r="L40" s="191">
        <f t="shared" si="15"/>
        <v>0</v>
      </c>
      <c r="M40" s="238"/>
      <c r="N40" s="357"/>
      <c r="O40" s="408"/>
      <c r="P40" s="195"/>
      <c r="Q40" s="196"/>
      <c r="R40" s="196"/>
      <c r="S40" s="192"/>
      <c r="T40" s="255"/>
      <c r="U40" s="193"/>
      <c r="V40">
        <f t="shared" si="16"/>
        <v>0</v>
      </c>
      <c r="W40">
        <f t="shared" si="2"/>
        <v>0</v>
      </c>
      <c r="X40" s="358">
        <f t="shared" si="17"/>
        <v>0</v>
      </c>
      <c r="Y40" s="358">
        <f t="shared" si="18"/>
        <v>0</v>
      </c>
      <c r="Z40" s="358">
        <f t="shared" si="3"/>
        <v>0</v>
      </c>
      <c r="AA40" s="358">
        <f t="shared" si="19"/>
        <v>0</v>
      </c>
      <c r="AB40" s="358">
        <f t="shared" si="20"/>
        <v>0</v>
      </c>
      <c r="AC40" s="358">
        <f>IF(C40="Orlov",Stamoplysninger!$E$21*7.4,0)</f>
        <v>0</v>
      </c>
      <c r="AD40" s="358">
        <f>IF(C40="Rul 1",Rul!$E$46,0)</f>
        <v>0</v>
      </c>
      <c r="AE40" s="358">
        <f>IF(C40="Rul 2",Rul!$G$46,0)</f>
        <v>0</v>
      </c>
      <c r="AF40" s="358">
        <f>IF(C40="Rul 3",Rul!$I$46,0)</f>
        <v>0</v>
      </c>
      <c r="AG40" s="358">
        <f>IF(C40="Rul 4",Rul!$K$46,0)</f>
        <v>0</v>
      </c>
      <c r="AH40" s="358">
        <f>IF(C40="Rul 5",Rul!$M$46,0)</f>
        <v>0</v>
      </c>
      <c r="AI40" s="358">
        <f>IF(C40="Rul 6",Rul!$O$46,0)</f>
        <v>0</v>
      </c>
      <c r="AJ40" s="359">
        <f>IF(AND(C40="Normal uge 1",B40="ma"),'Normal uger'!$E$48,0)</f>
        <v>0</v>
      </c>
      <c r="AK40" s="359">
        <f>IF(AND(C40="Normal uge 1",B40="ti"),'Normal uger'!$G$48,0)</f>
        <v>0</v>
      </c>
      <c r="AL40" s="359">
        <f>IF(AND(C40="Normal uge 1",B40="on"),'Normal uger'!$I$48,0)</f>
        <v>0</v>
      </c>
      <c r="AM40" s="359">
        <f>IF(AND(C40="Normal uge 1",B40="to"),'Normal uger'!$K$48,0)</f>
        <v>0</v>
      </c>
      <c r="AN40" s="359">
        <f>IF(AND(C40="Normal uge 1",B40="fr"),'Normal uger'!$M$48,0)</f>
        <v>0</v>
      </c>
      <c r="AO40" s="360">
        <f>IF(AND(C40="Normal uge 2",B40="ma"),'Normal uger'!$S$48,0)</f>
        <v>0</v>
      </c>
      <c r="AP40" s="360">
        <f>IF(AND(C40="Normal uge 2",B40="ti"),'Normal uger'!$U$48,0)</f>
        <v>0</v>
      </c>
      <c r="AQ40" s="360">
        <f>IF(AND(C40="Normal uge 2",B40="on"),'Normal uger'!$W$48,0)</f>
        <v>0</v>
      </c>
      <c r="AR40" s="360">
        <f>IF(AND(C40="Normal uge 2",B40="to"),'Normal uger'!$Y$48,0)</f>
        <v>0</v>
      </c>
      <c r="AS40" s="360">
        <f>IF(AND(C40="Normal uge 2",B40="fr"),'Normal uger'!$AA$48,0)</f>
        <v>0</v>
      </c>
      <c r="AT40" s="361">
        <f>IF(AND(C40="Normal uge 3",B40="ma"),'Normal uger'!$AG$48,0)</f>
        <v>0</v>
      </c>
      <c r="AU40" s="361">
        <f>IF(AND(C40="Normal uge 3",B40="ti"),'Normal uger'!$AI$48,0)</f>
        <v>0</v>
      </c>
      <c r="AV40" s="361">
        <f>IF(AND(C40="Normal uge 3",B40="on"),'Normal uger'!$AK$48,0)</f>
        <v>0</v>
      </c>
      <c r="AW40" s="361">
        <f>IF(AND(C40="Normal uge 3",B40="to"),'Normal uger'!$AM$48,0)</f>
        <v>0</v>
      </c>
      <c r="AX40" s="361">
        <f>IF(AND(C40="Normal uge 3",B40="fr"),'Normal uger'!$AO$48,0)</f>
        <v>0</v>
      </c>
      <c r="AY40" s="362">
        <f>IF(AND(C40="Normal uge 4",B40="ma"),'Normal uger'!$AU$48,0)</f>
        <v>0</v>
      </c>
      <c r="AZ40" s="362">
        <f>IF(AND(C40="Normal uge 4",B40="ti"),'Normal uger'!$AW$48,0)</f>
        <v>0</v>
      </c>
      <c r="BA40" s="362">
        <f>IF(AND(C40="Normal uge 4",B40="on"),'Normal uger'!$AY$48,0)</f>
        <v>0</v>
      </c>
      <c r="BB40" s="362">
        <f>IF(AND(C40="Normal uge 4",B40="to"),'Normal uger'!$BA$48,0)</f>
        <v>0</v>
      </c>
      <c r="BC40" s="362">
        <f>IF(AND(C40="Normal uge 4",B40="fr"),'Normal uger'!$BC$48,0)</f>
        <v>0</v>
      </c>
      <c r="BD40" s="655">
        <f>IF(AND(C40="Normal uge 5",B40="ma"),'Normal uger'!$BI$48,0)</f>
        <v>0</v>
      </c>
      <c r="BE40" s="655">
        <f>IF(AND(C40="Normal uge 5",B40="ti"),'Normal uger'!$BK$48,0)</f>
        <v>0</v>
      </c>
      <c r="BF40" s="655">
        <f>IF(AND(C40="Normal uge 5",B40="on"),'Normal uger'!$BM$48,0)</f>
        <v>0</v>
      </c>
      <c r="BG40" s="655">
        <f>IF(AND(C40="Normal uge 5",B40="to"),'Normal uger'!$BO$48,0)</f>
        <v>0</v>
      </c>
      <c r="BH40" s="655">
        <f>IF(AND(C40="Normal uge 5",B40="fr"),'Normal uger'!$BQ$48,0)</f>
        <v>0</v>
      </c>
      <c r="BI40" s="654">
        <f>IF(AND(C40="Normal uge 6",B40="ma"),'Normal uger'!$BW$48,0)</f>
        <v>0</v>
      </c>
      <c r="BJ40" s="654">
        <f>IF(AND(C40="Normal uge 6",B40="ti"),'Normal uger'!$BY$48,0)</f>
        <v>0</v>
      </c>
      <c r="BK40" s="654">
        <f>IF(AND(C40="Normal uge 6",B40="on"),'Normal uger'!$CA$48,0)</f>
        <v>0</v>
      </c>
      <c r="BL40" s="654">
        <f>IF(AND(C40="Normal uge 6",B40="to"),'Normal uger'!$CC$48,0)</f>
        <v>0</v>
      </c>
      <c r="BM40" s="654">
        <f>IF(AND(C40="Normal uge 6",B40="fr"),'Normal uger'!$CE$48,0)</f>
        <v>0</v>
      </c>
      <c r="BN40" s="1">
        <f t="shared" si="21"/>
        <v>0</v>
      </c>
      <c r="BO40" s="125">
        <f t="shared" si="4"/>
        <v>0</v>
      </c>
      <c r="BP40" s="358">
        <f t="shared" si="5"/>
        <v>0</v>
      </c>
      <c r="BQ40" s="358">
        <f t="shared" si="22"/>
        <v>0</v>
      </c>
      <c r="BR40" s="358">
        <f t="shared" si="6"/>
        <v>0</v>
      </c>
      <c r="BS40" s="358">
        <f t="shared" si="7"/>
        <v>0</v>
      </c>
      <c r="BT40" s="358">
        <f t="shared" si="8"/>
        <v>0</v>
      </c>
      <c r="BU40" s="358">
        <f>IF(C40="Rul 1",Rul!$E$49,0)</f>
        <v>0</v>
      </c>
      <c r="BV40" s="358">
        <f>IF(C40="Rul 2",Rul!$G$49,0)</f>
        <v>0</v>
      </c>
      <c r="BW40" s="358">
        <f>IF(C40="Rul 3",Rul!$I$49,0)</f>
        <v>0</v>
      </c>
      <c r="BX40" s="358">
        <f>IF(C40="Rul 4",Rul!$K$49,0)</f>
        <v>0</v>
      </c>
      <c r="BY40" s="358">
        <f>IF(C40="Rul 5",Rul!$M$49,0)</f>
        <v>0</v>
      </c>
      <c r="BZ40" s="358">
        <f>IF(C40="Rul 6",Rul!$O$49,0)</f>
        <v>0</v>
      </c>
      <c r="CA40" s="359">
        <f>IF(AND(C40="Normal uge 1",B40="ma"),'Normal uger'!$E$51,0)</f>
        <v>0</v>
      </c>
      <c r="CB40" s="359">
        <f>IF(AND(C40="Normal uge 1",B40="ti"),'Normal uger'!$G$51,0)</f>
        <v>0</v>
      </c>
      <c r="CC40" s="359">
        <f>IF(AND(C40="Normal uge 1",B40="on"),'Normal uger'!$I$51,0)</f>
        <v>0</v>
      </c>
      <c r="CD40" s="359">
        <f>IF(AND(C40="Normal uge 1",B40="to"),'Normal uger'!$K$51,0)</f>
        <v>0</v>
      </c>
      <c r="CE40" s="359">
        <f>IF(AND(C40="Normal uge 1",B40="fr"),'Normal uger'!$M$51,0)</f>
        <v>0</v>
      </c>
      <c r="CF40" s="360">
        <f>IF(AND(C40="Normal uge 2",B40="ma"),'Normal uger'!$S$51,0)</f>
        <v>0</v>
      </c>
      <c r="CG40" s="360">
        <f>IF(AND(C40="Normal uge 2",B40="ti"),'Normal uger'!$U$51,0)</f>
        <v>0</v>
      </c>
      <c r="CH40" s="360">
        <f>IF(AND(C40="Normal uge 2",B40="on"),'Normal uger'!$W$51,0)</f>
        <v>0</v>
      </c>
      <c r="CI40" s="360">
        <f>IF(AND(C40="Normal uge 2",B40="to"),'Normal uger'!$Y$51,0)</f>
        <v>0</v>
      </c>
      <c r="CJ40" s="360">
        <f>IF(AND(C40="Normal uge 2",B40="fr"),'Normal uger'!$AA$51,0)</f>
        <v>0</v>
      </c>
      <c r="CK40" s="361">
        <f>IF(AND(C40="Normal uge 3",B40="ma"),'Normal uger'!$AG$51,0)</f>
        <v>0</v>
      </c>
      <c r="CL40" s="361">
        <f>IF(AND(C40="Normal uge 3",B40="ti"),'Normal uger'!$AI$51,0)</f>
        <v>0</v>
      </c>
      <c r="CM40" s="361">
        <f>IF(AND(C40="Normal uge 3",B40="on"),'Normal uger'!$AK$51,0)</f>
        <v>0</v>
      </c>
      <c r="CN40" s="361">
        <f>IF(AND(C40="Normal uge 3",B40="to"),'Normal uger'!$AM$51,0)</f>
        <v>0</v>
      </c>
      <c r="CO40" s="361">
        <f>IF(AND(C40="Normal uge 3",B40="fr"),'Normal uger'!$AO$51,0)</f>
        <v>0</v>
      </c>
      <c r="CP40" s="362">
        <f>IF(AND(C40="Normal uge 4",B40="ma"),'Normal uger'!$AU$51,0)</f>
        <v>0</v>
      </c>
      <c r="CQ40" s="362">
        <f>IF(AND(C40="Normal uge 4",B40="ti"),'Normal uger'!$AW$51,0)</f>
        <v>0</v>
      </c>
      <c r="CR40" s="362">
        <f>IF(AND(C40="Normal uge 4",B40="on"),'Normal uger'!$AY$51,0)</f>
        <v>0</v>
      </c>
      <c r="CS40" s="362">
        <f>IF(AND(C40="Normal uge 4",B40="to"),'Normal uger'!$BA$51,0)</f>
        <v>0</v>
      </c>
      <c r="CT40" s="362">
        <f>IF(AND(C40="Normal uge 4",B40="fr"),'Normal uger'!$BC$51,0)</f>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IF(AND(C40="Normal uge 5",B40="fr"),'Normal uger'!$BQ$51,0)</f>
        <v>0</v>
      </c>
      <c r="CZ40" s="654">
        <f>IF(AND(C40="Normal uge 6",B40="ma"),'Normal uger'!$BW$51,0)</f>
        <v>0</v>
      </c>
      <c r="DA40" s="654">
        <f>IF(AND(C40="Normal uge 6",B40="ti"),'Normal uger'!$BY$51,0)</f>
        <v>0</v>
      </c>
      <c r="DB40" s="654">
        <f>IF(AND(C40="Normal uge 6",B40="on"),'Normal uger'!$CA$51,0)</f>
        <v>0</v>
      </c>
      <c r="DC40" s="654">
        <f>IF(AND(C40="Normal uge 6",B40="to"),'Normal uger'!$CC$51,0)</f>
        <v>0</v>
      </c>
      <c r="DD40" s="654">
        <f>IF(AND(C40="Normal uge 6",B40="fr"),'Normal uger'!$CE$51,0)</f>
        <v>0</v>
      </c>
      <c r="DE40" s="1">
        <f t="shared" si="23"/>
        <v>0</v>
      </c>
      <c r="DF40" t="str">
        <f t="shared" si="9"/>
        <v/>
      </c>
      <c r="DG40">
        <f t="shared" si="10"/>
        <v>0</v>
      </c>
      <c r="DH40">
        <f t="shared" si="11"/>
        <v>0</v>
      </c>
      <c r="DI40" t="str">
        <f t="shared" si="12"/>
        <v/>
      </c>
      <c r="DJ40" t="str">
        <f t="shared" si="12"/>
        <v/>
      </c>
      <c r="DK40" t="str">
        <f t="shared" si="12"/>
        <v/>
      </c>
      <c r="DL40" t="str">
        <f t="shared" si="24"/>
        <v/>
      </c>
    </row>
    <row r="41" spans="1:116">
      <c r="A41" s="135">
        <f t="shared" si="13"/>
        <v>27</v>
      </c>
      <c r="B41" s="72" t="str">
        <f t="shared" si="0"/>
        <v>ma</v>
      </c>
      <c r="C41" s="73" t="s">
        <v>217</v>
      </c>
      <c r="D41" s="74">
        <f t="shared" si="1"/>
        <v>30.571428571428573</v>
      </c>
      <c r="E41" s="858"/>
      <c r="F41" s="859"/>
      <c r="G41" s="860"/>
      <c r="H41" s="175"/>
      <c r="I41" s="221"/>
      <c r="J41" s="221"/>
      <c r="K41" s="191">
        <f t="shared" si="14"/>
        <v>0</v>
      </c>
      <c r="L41" s="191">
        <f t="shared" si="15"/>
        <v>0</v>
      </c>
      <c r="M41" s="238"/>
      <c r="N41" s="357"/>
      <c r="O41" s="408"/>
      <c r="P41" s="195"/>
      <c r="Q41" s="196"/>
      <c r="R41" s="196"/>
      <c r="S41" s="192"/>
      <c r="T41" s="255"/>
      <c r="U41" s="193"/>
      <c r="V41">
        <f t="shared" si="16"/>
        <v>0</v>
      </c>
      <c r="W41">
        <f t="shared" si="2"/>
        <v>0</v>
      </c>
      <c r="X41" s="358">
        <f t="shared" si="17"/>
        <v>0</v>
      </c>
      <c r="Y41" s="358">
        <f t="shared" si="18"/>
        <v>0</v>
      </c>
      <c r="Z41" s="358">
        <f t="shared" si="3"/>
        <v>0</v>
      </c>
      <c r="AA41" s="358">
        <f t="shared" si="19"/>
        <v>0</v>
      </c>
      <c r="AB41" s="358">
        <f t="shared" si="20"/>
        <v>0</v>
      </c>
      <c r="AC41" s="358">
        <f>IF(C41="Orlov",Stamoplysninger!$E$21*7.4,0)</f>
        <v>0</v>
      </c>
      <c r="AD41" s="358">
        <f>IF(C41="Rul 1",Rul!$E$46,0)</f>
        <v>0</v>
      </c>
      <c r="AE41" s="358">
        <f>IF(C41="Rul 2",Rul!$G$46,0)</f>
        <v>0</v>
      </c>
      <c r="AF41" s="358">
        <f>IF(C41="Rul 3",Rul!$I$46,0)</f>
        <v>0</v>
      </c>
      <c r="AG41" s="358">
        <f>IF(C41="Rul 4",Rul!$K$46,0)</f>
        <v>0</v>
      </c>
      <c r="AH41" s="358">
        <f>IF(C41="Rul 5",Rul!$M$46,0)</f>
        <v>0</v>
      </c>
      <c r="AI41" s="358">
        <f>IF(C41="Rul 6",Rul!$O$46,0)</f>
        <v>0</v>
      </c>
      <c r="AJ41" s="359">
        <f>IF(AND(C41="Normal uge 1",B41="ma"),'Normal uger'!$E$48,0)</f>
        <v>0</v>
      </c>
      <c r="AK41" s="359">
        <f>IF(AND(C41="Normal uge 1",B41="ti"),'Normal uger'!$G$48,0)</f>
        <v>0</v>
      </c>
      <c r="AL41" s="359">
        <f>IF(AND(C41="Normal uge 1",B41="on"),'Normal uger'!$I$48,0)</f>
        <v>0</v>
      </c>
      <c r="AM41" s="359">
        <f>IF(AND(C41="Normal uge 1",B41="to"),'Normal uger'!$K$48,0)</f>
        <v>0</v>
      </c>
      <c r="AN41" s="359">
        <f>IF(AND(C41="Normal uge 1",B41="fr"),'Normal uger'!$M$48,0)</f>
        <v>0</v>
      </c>
      <c r="AO41" s="360">
        <f>IF(AND(C41="Normal uge 2",B41="ma"),'Normal uger'!$S$48,0)</f>
        <v>0</v>
      </c>
      <c r="AP41" s="360">
        <f>IF(AND(C41="Normal uge 2",B41="ti"),'Normal uger'!$U$48,0)</f>
        <v>0</v>
      </c>
      <c r="AQ41" s="360">
        <f>IF(AND(C41="Normal uge 2",B41="on"),'Normal uger'!$W$48,0)</f>
        <v>0</v>
      </c>
      <c r="AR41" s="360">
        <f>IF(AND(C41="Normal uge 2",B41="to"),'Normal uger'!$Y$48,0)</f>
        <v>0</v>
      </c>
      <c r="AS41" s="360">
        <f>IF(AND(C41="Normal uge 2",B41="fr"),'Normal uger'!$AA$48,0)</f>
        <v>0</v>
      </c>
      <c r="AT41" s="361">
        <f>IF(AND(C41="Normal uge 3",B41="ma"),'Normal uger'!$AG$48,0)</f>
        <v>0</v>
      </c>
      <c r="AU41" s="361">
        <f>IF(AND(C41="Normal uge 3",B41="ti"),'Normal uger'!$AI$48,0)</f>
        <v>0</v>
      </c>
      <c r="AV41" s="361">
        <f>IF(AND(C41="Normal uge 3",B41="on"),'Normal uger'!$AK$48,0)</f>
        <v>0</v>
      </c>
      <c r="AW41" s="361">
        <f>IF(AND(C41="Normal uge 3",B41="to"),'Normal uger'!$AM$48,0)</f>
        <v>0</v>
      </c>
      <c r="AX41" s="361">
        <f>IF(AND(C41="Normal uge 3",B41="fr"),'Normal uger'!$AO$48,0)</f>
        <v>0</v>
      </c>
      <c r="AY41" s="362">
        <f>IF(AND(C41="Normal uge 4",B41="ma"),'Normal uger'!$AU$48,0)</f>
        <v>0</v>
      </c>
      <c r="AZ41" s="362">
        <f>IF(AND(C41="Normal uge 4",B41="ti"),'Normal uger'!$AW$48,0)</f>
        <v>0</v>
      </c>
      <c r="BA41" s="362">
        <f>IF(AND(C41="Normal uge 4",B41="on"),'Normal uger'!$AY$48,0)</f>
        <v>0</v>
      </c>
      <c r="BB41" s="362">
        <f>IF(AND(C41="Normal uge 4",B41="to"),'Normal uger'!$BA$48,0)</f>
        <v>0</v>
      </c>
      <c r="BC41" s="362">
        <f>IF(AND(C41="Normal uge 4",B41="fr"),'Normal uger'!$BC$48,0)</f>
        <v>0</v>
      </c>
      <c r="BD41" s="655">
        <f>IF(AND(C41="Normal uge 5",B41="ma"),'Normal uger'!$BI$48,0)</f>
        <v>0</v>
      </c>
      <c r="BE41" s="655">
        <f>IF(AND(C41="Normal uge 5",B41="ti"),'Normal uger'!$BK$48,0)</f>
        <v>0</v>
      </c>
      <c r="BF41" s="655">
        <f>IF(AND(C41="Normal uge 5",B41="on"),'Normal uger'!$BM$48,0)</f>
        <v>0</v>
      </c>
      <c r="BG41" s="655">
        <f>IF(AND(C41="Normal uge 5",B41="to"),'Normal uger'!$BO$48,0)</f>
        <v>0</v>
      </c>
      <c r="BH41" s="655">
        <f>IF(AND(C41="Normal uge 5",B41="fr"),'Normal uger'!$BQ$48,0)</f>
        <v>0</v>
      </c>
      <c r="BI41" s="654">
        <f>IF(AND(C41="Normal uge 6",B41="ma"),'Normal uger'!$BW$48,0)</f>
        <v>0</v>
      </c>
      <c r="BJ41" s="654">
        <f>IF(AND(C41="Normal uge 6",B41="ti"),'Normal uger'!$BY$48,0)</f>
        <v>0</v>
      </c>
      <c r="BK41" s="654">
        <f>IF(AND(C41="Normal uge 6",B41="on"),'Normal uger'!$CA$48,0)</f>
        <v>0</v>
      </c>
      <c r="BL41" s="654">
        <f>IF(AND(C41="Normal uge 6",B41="to"),'Normal uger'!$CC$48,0)</f>
        <v>0</v>
      </c>
      <c r="BM41" s="654">
        <f>IF(AND(C41="Normal uge 6",B41="fr"),'Normal uger'!$CE$48,0)</f>
        <v>0</v>
      </c>
      <c r="BN41" s="1">
        <f t="shared" si="21"/>
        <v>0</v>
      </c>
      <c r="BO41" s="125">
        <f t="shared" si="4"/>
        <v>0</v>
      </c>
      <c r="BP41" s="358">
        <f t="shared" si="5"/>
        <v>0</v>
      </c>
      <c r="BQ41" s="358">
        <f t="shared" si="22"/>
        <v>0</v>
      </c>
      <c r="BR41" s="358">
        <f t="shared" si="6"/>
        <v>0</v>
      </c>
      <c r="BS41" s="358">
        <f t="shared" si="7"/>
        <v>0</v>
      </c>
      <c r="BT41" s="358">
        <f t="shared" si="8"/>
        <v>0</v>
      </c>
      <c r="BU41" s="358">
        <f>IF(C41="Rul 1",Rul!$E$49,0)</f>
        <v>0</v>
      </c>
      <c r="BV41" s="358">
        <f>IF(C41="Rul 2",Rul!$G$49,0)</f>
        <v>0</v>
      </c>
      <c r="BW41" s="358">
        <f>IF(C41="Rul 3",Rul!$I$49,0)</f>
        <v>0</v>
      </c>
      <c r="BX41" s="358">
        <f>IF(C41="Rul 4",Rul!$K$49,0)</f>
        <v>0</v>
      </c>
      <c r="BY41" s="358">
        <f>IF(C41="Rul 5",Rul!$M$49,0)</f>
        <v>0</v>
      </c>
      <c r="BZ41" s="358">
        <f>IF(C41="Rul 6",Rul!$O$49,0)</f>
        <v>0</v>
      </c>
      <c r="CA41" s="359">
        <f>IF(AND(C41="Normal uge 1",B41="ma"),'Normal uger'!$E$51,0)</f>
        <v>0</v>
      </c>
      <c r="CB41" s="359">
        <f>IF(AND(C41="Normal uge 1",B41="ti"),'Normal uger'!$G$51,0)</f>
        <v>0</v>
      </c>
      <c r="CC41" s="359">
        <f>IF(AND(C41="Normal uge 1",B41="on"),'Normal uger'!$I$51,0)</f>
        <v>0</v>
      </c>
      <c r="CD41" s="359">
        <f>IF(AND(C41="Normal uge 1",B41="to"),'Normal uger'!$K$51,0)</f>
        <v>0</v>
      </c>
      <c r="CE41" s="359">
        <f>IF(AND(C41="Normal uge 1",B41="fr"),'Normal uger'!$M$51,0)</f>
        <v>0</v>
      </c>
      <c r="CF41" s="360">
        <f>IF(AND(C41="Normal uge 2",B41="ma"),'Normal uger'!$S$51,0)</f>
        <v>0</v>
      </c>
      <c r="CG41" s="360">
        <f>IF(AND(C41="Normal uge 2",B41="ti"),'Normal uger'!$U$51,0)</f>
        <v>0</v>
      </c>
      <c r="CH41" s="360">
        <f>IF(AND(C41="Normal uge 2",B41="on"),'Normal uger'!$W$51,0)</f>
        <v>0</v>
      </c>
      <c r="CI41" s="360">
        <f>IF(AND(C41="Normal uge 2",B41="to"),'Normal uger'!$Y$51,0)</f>
        <v>0</v>
      </c>
      <c r="CJ41" s="360">
        <f>IF(AND(C41="Normal uge 2",B41="fr"),'Normal uger'!$AA$51,0)</f>
        <v>0</v>
      </c>
      <c r="CK41" s="361">
        <f>IF(AND(C41="Normal uge 3",B41="ma"),'Normal uger'!$AG$51,0)</f>
        <v>0</v>
      </c>
      <c r="CL41" s="361">
        <f>IF(AND(C41="Normal uge 3",B41="ti"),'Normal uger'!$AI$51,0)</f>
        <v>0</v>
      </c>
      <c r="CM41" s="361">
        <f>IF(AND(C41="Normal uge 3",B41="on"),'Normal uger'!$AK$51,0)</f>
        <v>0</v>
      </c>
      <c r="CN41" s="361">
        <f>IF(AND(C41="Normal uge 3",B41="to"),'Normal uger'!$AM$51,0)</f>
        <v>0</v>
      </c>
      <c r="CO41" s="361">
        <f>IF(AND(C41="Normal uge 3",B41="fr"),'Normal uger'!$AO$51,0)</f>
        <v>0</v>
      </c>
      <c r="CP41" s="362">
        <f>IF(AND(C41="Normal uge 4",B41="ma"),'Normal uger'!$AU$51,0)</f>
        <v>0</v>
      </c>
      <c r="CQ41" s="362">
        <f>IF(AND(C41="Normal uge 4",B41="ti"),'Normal uger'!$AW$51,0)</f>
        <v>0</v>
      </c>
      <c r="CR41" s="362">
        <f>IF(AND(C41="Normal uge 4",B41="on"),'Normal uger'!$AY$51,0)</f>
        <v>0</v>
      </c>
      <c r="CS41" s="362">
        <f>IF(AND(C41="Normal uge 4",B41="to"),'Normal uger'!$BA$51,0)</f>
        <v>0</v>
      </c>
      <c r="CT41" s="362">
        <f>IF(AND(C41="Normal uge 4",B41="fr"),'Normal uger'!$BC$51,0)</f>
        <v>0</v>
      </c>
      <c r="CU41" s="655">
        <f>IF(AND(C41="Normal uge 5",B41="ma"),'Normal uger'!$BI$51,0)</f>
        <v>0</v>
      </c>
      <c r="CV41" s="655">
        <f>IF(AND(C41="Normal uge 5",B41="ti"),'Normal uger'!$BK$51,0)</f>
        <v>0</v>
      </c>
      <c r="CW41" s="655">
        <f>IF(AND(C41="Normal uge 5",B41="on"),'Normal uger'!$BM$51,0)</f>
        <v>0</v>
      </c>
      <c r="CX41" s="655">
        <f>IF(AND(C41="Normal uge 5",B41="to"),'Normal uger'!$BO$51,0)</f>
        <v>0</v>
      </c>
      <c r="CY41" s="655">
        <f>IF(AND(C41="Normal uge 5",B41="fr"),'Normal uger'!$BQ$51,0)</f>
        <v>0</v>
      </c>
      <c r="CZ41" s="654">
        <f>IF(AND(C41="Normal uge 6",B41="ma"),'Normal uger'!$BW$51,0)</f>
        <v>0</v>
      </c>
      <c r="DA41" s="654">
        <f>IF(AND(C41="Normal uge 6",B41="ti"),'Normal uger'!$BY$51,0)</f>
        <v>0</v>
      </c>
      <c r="DB41" s="654">
        <f>IF(AND(C41="Normal uge 6",B41="on"),'Normal uger'!$CA$51,0)</f>
        <v>0</v>
      </c>
      <c r="DC41" s="654">
        <f>IF(AND(C41="Normal uge 6",B41="to"),'Normal uger'!$CC$51,0)</f>
        <v>0</v>
      </c>
      <c r="DD41" s="654">
        <f>IF(AND(C41="Normal uge 6",B41="fr"),'Normal uger'!$CE$51,0)</f>
        <v>0</v>
      </c>
      <c r="DE41" s="1">
        <f t="shared" si="23"/>
        <v>0</v>
      </c>
      <c r="DF41" t="str">
        <f t="shared" si="9"/>
        <v/>
      </c>
      <c r="DG41">
        <f t="shared" si="10"/>
        <v>0</v>
      </c>
      <c r="DH41">
        <f t="shared" si="11"/>
        <v>0</v>
      </c>
      <c r="DI41" t="str">
        <f t="shared" si="12"/>
        <v/>
      </c>
      <c r="DJ41" t="str">
        <f t="shared" si="12"/>
        <v/>
      </c>
      <c r="DK41" t="str">
        <f t="shared" si="12"/>
        <v/>
      </c>
      <c r="DL41" t="str">
        <f t="shared" si="24"/>
        <v/>
      </c>
    </row>
    <row r="42" spans="1:116">
      <c r="A42" s="135">
        <f t="shared" si="13"/>
        <v>28</v>
      </c>
      <c r="B42" s="72" t="str">
        <f t="shared" si="0"/>
        <v>ti</v>
      </c>
      <c r="C42" s="73" t="s">
        <v>217</v>
      </c>
      <c r="D42" s="74" t="str">
        <f t="shared" si="1"/>
        <v/>
      </c>
      <c r="E42" s="858"/>
      <c r="F42" s="859"/>
      <c r="G42" s="860"/>
      <c r="H42" s="175"/>
      <c r="I42" s="221"/>
      <c r="J42" s="221"/>
      <c r="K42" s="191">
        <f t="shared" si="14"/>
        <v>0</v>
      </c>
      <c r="L42" s="191">
        <f t="shared" si="15"/>
        <v>0</v>
      </c>
      <c r="M42" s="238"/>
      <c r="N42" s="357"/>
      <c r="O42" s="408"/>
      <c r="P42" s="195"/>
      <c r="Q42" s="196"/>
      <c r="R42" s="196"/>
      <c r="S42" s="192"/>
      <c r="T42" s="255"/>
      <c r="U42" s="193"/>
      <c r="V42">
        <f t="shared" si="16"/>
        <v>0</v>
      </c>
      <c r="W42">
        <f t="shared" si="2"/>
        <v>0</v>
      </c>
      <c r="X42" s="358">
        <f t="shared" si="17"/>
        <v>0</v>
      </c>
      <c r="Y42" s="358">
        <f t="shared" si="18"/>
        <v>0</v>
      </c>
      <c r="Z42" s="358">
        <f t="shared" si="3"/>
        <v>0</v>
      </c>
      <c r="AA42" s="358">
        <f t="shared" si="19"/>
        <v>0</v>
      </c>
      <c r="AB42" s="358">
        <f t="shared" si="20"/>
        <v>0</v>
      </c>
      <c r="AC42" s="358">
        <f>IF(C42="Orlov",Stamoplysninger!$E$21*7.4,0)</f>
        <v>0</v>
      </c>
      <c r="AD42" s="358">
        <f>IF(C42="Rul 1",Rul!$E$46,0)</f>
        <v>0</v>
      </c>
      <c r="AE42" s="358">
        <f>IF(C42="Rul 2",Rul!$G$46,0)</f>
        <v>0</v>
      </c>
      <c r="AF42" s="358">
        <f>IF(C42="Rul 3",Rul!$I$46,0)</f>
        <v>0</v>
      </c>
      <c r="AG42" s="358">
        <f>IF(C42="Rul 4",Rul!$K$46,0)</f>
        <v>0</v>
      </c>
      <c r="AH42" s="358">
        <f>IF(C42="Rul 5",Rul!$M$46,0)</f>
        <v>0</v>
      </c>
      <c r="AI42" s="358">
        <f>IF(C42="Rul 6",Rul!$O$46,0)</f>
        <v>0</v>
      </c>
      <c r="AJ42" s="359">
        <f>IF(AND(C42="Normal uge 1",B42="ma"),'Normal uger'!$E$48,0)</f>
        <v>0</v>
      </c>
      <c r="AK42" s="359">
        <f>IF(AND(C42="Normal uge 1",B42="ti"),'Normal uger'!$G$48,0)</f>
        <v>0</v>
      </c>
      <c r="AL42" s="359">
        <f>IF(AND(C42="Normal uge 1",B42="on"),'Normal uger'!$I$48,0)</f>
        <v>0</v>
      </c>
      <c r="AM42" s="359">
        <f>IF(AND(C42="Normal uge 1",B42="to"),'Normal uger'!$K$48,0)</f>
        <v>0</v>
      </c>
      <c r="AN42" s="359">
        <f>IF(AND(C42="Normal uge 1",B42="fr"),'Normal uger'!$M$48,0)</f>
        <v>0</v>
      </c>
      <c r="AO42" s="360">
        <f>IF(AND(C42="Normal uge 2",B42="ma"),'Normal uger'!$S$48,0)</f>
        <v>0</v>
      </c>
      <c r="AP42" s="360">
        <f>IF(AND(C42="Normal uge 2",B42="ti"),'Normal uger'!$U$48,0)</f>
        <v>0</v>
      </c>
      <c r="AQ42" s="360">
        <f>IF(AND(C42="Normal uge 2",B42="on"),'Normal uger'!$W$48,0)</f>
        <v>0</v>
      </c>
      <c r="AR42" s="360">
        <f>IF(AND(C42="Normal uge 2",B42="to"),'Normal uger'!$Y$48,0)</f>
        <v>0</v>
      </c>
      <c r="AS42" s="360">
        <f>IF(AND(C42="Normal uge 2",B42="fr"),'Normal uger'!$AA$48,0)</f>
        <v>0</v>
      </c>
      <c r="AT42" s="361">
        <f>IF(AND(C42="Normal uge 3",B42="ma"),'Normal uger'!$AG$48,0)</f>
        <v>0</v>
      </c>
      <c r="AU42" s="361">
        <f>IF(AND(C42="Normal uge 3",B42="ti"),'Normal uger'!$AI$48,0)</f>
        <v>0</v>
      </c>
      <c r="AV42" s="361">
        <f>IF(AND(C42="Normal uge 3",B42="on"),'Normal uger'!$AK$48,0)</f>
        <v>0</v>
      </c>
      <c r="AW42" s="361">
        <f>IF(AND(C42="Normal uge 3",B42="to"),'Normal uger'!$AM$48,0)</f>
        <v>0</v>
      </c>
      <c r="AX42" s="361">
        <f>IF(AND(C42="Normal uge 3",B42="fr"),'Normal uger'!$AO$48,0)</f>
        <v>0</v>
      </c>
      <c r="AY42" s="362">
        <f>IF(AND(C42="Normal uge 4",B42="ma"),'Normal uger'!$AU$48,0)</f>
        <v>0</v>
      </c>
      <c r="AZ42" s="362">
        <f>IF(AND(C42="Normal uge 4",B42="ti"),'Normal uger'!$AW$48,0)</f>
        <v>0</v>
      </c>
      <c r="BA42" s="362">
        <f>IF(AND(C42="Normal uge 4",B42="on"),'Normal uger'!$AY$48,0)</f>
        <v>0</v>
      </c>
      <c r="BB42" s="362">
        <f>IF(AND(C42="Normal uge 4",B42="to"),'Normal uger'!$BA$48,0)</f>
        <v>0</v>
      </c>
      <c r="BC42" s="362">
        <f>IF(AND(C42="Normal uge 4",B42="fr"),'Normal uger'!$BC$48,0)</f>
        <v>0</v>
      </c>
      <c r="BD42" s="655">
        <f>IF(AND(C42="Normal uge 5",B42="ma"),'Normal uger'!$BI$48,0)</f>
        <v>0</v>
      </c>
      <c r="BE42" s="655">
        <f>IF(AND(C42="Normal uge 5",B42="ti"),'Normal uger'!$BK$48,0)</f>
        <v>0</v>
      </c>
      <c r="BF42" s="655">
        <f>IF(AND(C42="Normal uge 5",B42="on"),'Normal uger'!$BM$48,0)</f>
        <v>0</v>
      </c>
      <c r="BG42" s="655">
        <f>IF(AND(C42="Normal uge 5",B42="to"),'Normal uger'!$BO$48,0)</f>
        <v>0</v>
      </c>
      <c r="BH42" s="655">
        <f>IF(AND(C42="Normal uge 5",B42="fr"),'Normal uger'!$BQ$48,0)</f>
        <v>0</v>
      </c>
      <c r="BI42" s="654">
        <f>IF(AND(C42="Normal uge 6",B42="ma"),'Normal uger'!$BW$48,0)</f>
        <v>0</v>
      </c>
      <c r="BJ42" s="654">
        <f>IF(AND(C42="Normal uge 6",B42="ti"),'Normal uger'!$BY$48,0)</f>
        <v>0</v>
      </c>
      <c r="BK42" s="654">
        <f>IF(AND(C42="Normal uge 6",B42="on"),'Normal uger'!$CA$48,0)</f>
        <v>0</v>
      </c>
      <c r="BL42" s="654">
        <f>IF(AND(C42="Normal uge 6",B42="to"),'Normal uger'!$CC$48,0)</f>
        <v>0</v>
      </c>
      <c r="BM42" s="654">
        <f>IF(AND(C42="Normal uge 6",B42="fr"),'Normal uger'!$CE$48,0)</f>
        <v>0</v>
      </c>
      <c r="BN42" s="1">
        <f t="shared" si="21"/>
        <v>0</v>
      </c>
      <c r="BO42" s="125">
        <f t="shared" si="4"/>
        <v>0</v>
      </c>
      <c r="BP42" s="358">
        <f t="shared" si="5"/>
        <v>0</v>
      </c>
      <c r="BQ42" s="358">
        <f t="shared" si="22"/>
        <v>0</v>
      </c>
      <c r="BR42" s="358">
        <f t="shared" si="6"/>
        <v>0</v>
      </c>
      <c r="BS42" s="358">
        <f t="shared" si="7"/>
        <v>0</v>
      </c>
      <c r="BT42" s="358">
        <f t="shared" si="8"/>
        <v>0</v>
      </c>
      <c r="BU42" s="358">
        <f>IF(C42="Rul 1",Rul!$E$49,0)</f>
        <v>0</v>
      </c>
      <c r="BV42" s="358">
        <f>IF(C42="Rul 2",Rul!$G$49,0)</f>
        <v>0</v>
      </c>
      <c r="BW42" s="358">
        <f>IF(C42="Rul 3",Rul!$I$49,0)</f>
        <v>0</v>
      </c>
      <c r="BX42" s="358">
        <f>IF(C42="Rul 4",Rul!$K$49,0)</f>
        <v>0</v>
      </c>
      <c r="BY42" s="358">
        <f>IF(C42="Rul 5",Rul!$M$49,0)</f>
        <v>0</v>
      </c>
      <c r="BZ42" s="358">
        <f>IF(C42="Rul 6",Rul!$O$49,0)</f>
        <v>0</v>
      </c>
      <c r="CA42" s="359">
        <f>IF(AND(C42="Normal uge 1",B42="ma"),'Normal uger'!$E$51,0)</f>
        <v>0</v>
      </c>
      <c r="CB42" s="359">
        <f>IF(AND(C42="Normal uge 1",B42="ti"),'Normal uger'!$G$51,0)</f>
        <v>0</v>
      </c>
      <c r="CC42" s="359">
        <f>IF(AND(C42="Normal uge 1",B42="on"),'Normal uger'!$I$51,0)</f>
        <v>0</v>
      </c>
      <c r="CD42" s="359">
        <f>IF(AND(C42="Normal uge 1",B42="to"),'Normal uger'!$K$51,0)</f>
        <v>0</v>
      </c>
      <c r="CE42" s="359">
        <f>IF(AND(C42="Normal uge 1",B42="fr"),'Normal uger'!$M$51,0)</f>
        <v>0</v>
      </c>
      <c r="CF42" s="360">
        <f>IF(AND(C42="Normal uge 2",B42="ma"),'Normal uger'!$S$51,0)</f>
        <v>0</v>
      </c>
      <c r="CG42" s="360">
        <f>IF(AND(C42="Normal uge 2",B42="ti"),'Normal uger'!$U$51,0)</f>
        <v>0</v>
      </c>
      <c r="CH42" s="360">
        <f>IF(AND(C42="Normal uge 2",B42="on"),'Normal uger'!$W$51,0)</f>
        <v>0</v>
      </c>
      <c r="CI42" s="360">
        <f>IF(AND(C42="Normal uge 2",B42="to"),'Normal uger'!$Y$51,0)</f>
        <v>0</v>
      </c>
      <c r="CJ42" s="360">
        <f>IF(AND(C42="Normal uge 2",B42="fr"),'Normal uger'!$AA$51,0)</f>
        <v>0</v>
      </c>
      <c r="CK42" s="361">
        <f>IF(AND(C42="Normal uge 3",B42="ma"),'Normal uger'!$AG$51,0)</f>
        <v>0</v>
      </c>
      <c r="CL42" s="361">
        <f>IF(AND(C42="Normal uge 3",B42="ti"),'Normal uger'!$AI$51,0)</f>
        <v>0</v>
      </c>
      <c r="CM42" s="361">
        <f>IF(AND(C42="Normal uge 3",B42="on"),'Normal uger'!$AK$51,0)</f>
        <v>0</v>
      </c>
      <c r="CN42" s="361">
        <f>IF(AND(C42="Normal uge 3",B42="to"),'Normal uger'!$AM$51,0)</f>
        <v>0</v>
      </c>
      <c r="CO42" s="361">
        <f>IF(AND(C42="Normal uge 3",B42="fr"),'Normal uger'!$AO$51,0)</f>
        <v>0</v>
      </c>
      <c r="CP42" s="362">
        <f>IF(AND(C42="Normal uge 4",B42="ma"),'Normal uger'!$AU$51,0)</f>
        <v>0</v>
      </c>
      <c r="CQ42" s="362">
        <f>IF(AND(C42="Normal uge 4",B42="ti"),'Normal uger'!$AW$51,0)</f>
        <v>0</v>
      </c>
      <c r="CR42" s="362">
        <f>IF(AND(C42="Normal uge 4",B42="on"),'Normal uger'!$AY$51,0)</f>
        <v>0</v>
      </c>
      <c r="CS42" s="362">
        <f>IF(AND(C42="Normal uge 4",B42="to"),'Normal uger'!$BA$51,0)</f>
        <v>0</v>
      </c>
      <c r="CT42" s="362">
        <f>IF(AND(C42="Normal uge 4",B42="fr"),'Normal uger'!$BC$51,0)</f>
        <v>0</v>
      </c>
      <c r="CU42" s="655">
        <f>IF(AND(C42="Normal uge 5",B42="ma"),'Normal uger'!$BI$51,0)</f>
        <v>0</v>
      </c>
      <c r="CV42" s="655">
        <f>IF(AND(C42="Normal uge 5",B42="ti"),'Normal uger'!$BK$51,0)</f>
        <v>0</v>
      </c>
      <c r="CW42" s="655">
        <f>IF(AND(C42="Normal uge 5",B42="on"),'Normal uger'!$BM$51,0)</f>
        <v>0</v>
      </c>
      <c r="CX42" s="655">
        <f>IF(AND(C42="Normal uge 5",B42="to"),'Normal uger'!$BO$51,0)</f>
        <v>0</v>
      </c>
      <c r="CY42" s="655">
        <f>IF(AND(C42="Normal uge 5",B42="fr"),'Normal uger'!$BQ$51,0)</f>
        <v>0</v>
      </c>
      <c r="CZ42" s="654">
        <f>IF(AND(C42="Normal uge 6",B42="ma"),'Normal uger'!$BW$51,0)</f>
        <v>0</v>
      </c>
      <c r="DA42" s="654">
        <f>IF(AND(C42="Normal uge 6",B42="ti"),'Normal uger'!$BY$51,0)</f>
        <v>0</v>
      </c>
      <c r="DB42" s="654">
        <f>IF(AND(C42="Normal uge 6",B42="on"),'Normal uger'!$CA$51,0)</f>
        <v>0</v>
      </c>
      <c r="DC42" s="654">
        <f>IF(AND(C42="Normal uge 6",B42="to"),'Normal uger'!$CC$51,0)</f>
        <v>0</v>
      </c>
      <c r="DD42" s="654">
        <f>IF(AND(C42="Normal uge 6",B42="fr"),'Normal uger'!$CE$51,0)</f>
        <v>0</v>
      </c>
      <c r="DE42" s="1">
        <f t="shared" si="23"/>
        <v>0</v>
      </c>
      <c r="DF42" t="str">
        <f t="shared" si="9"/>
        <v/>
      </c>
      <c r="DG42">
        <f t="shared" si="10"/>
        <v>0</v>
      </c>
      <c r="DH42">
        <f t="shared" si="11"/>
        <v>0</v>
      </c>
      <c r="DI42" t="str">
        <f t="shared" si="12"/>
        <v/>
      </c>
      <c r="DJ42" t="str">
        <f t="shared" si="12"/>
        <v/>
      </c>
      <c r="DK42" t="str">
        <f t="shared" si="12"/>
        <v/>
      </c>
      <c r="DL42" t="str">
        <f t="shared" si="24"/>
        <v/>
      </c>
    </row>
    <row r="43" spans="1:116">
      <c r="A43" s="135">
        <f>IF(ISNUMBER(A42),A42+1,1)</f>
        <v>29</v>
      </c>
      <c r="B43" s="72" t="str">
        <f t="shared" si="0"/>
        <v>on</v>
      </c>
      <c r="C43" s="73" t="s">
        <v>217</v>
      </c>
      <c r="D43" s="74" t="str">
        <f t="shared" si="1"/>
        <v/>
      </c>
      <c r="E43" s="858"/>
      <c r="F43" s="859"/>
      <c r="G43" s="860"/>
      <c r="H43" s="175"/>
      <c r="I43" s="221"/>
      <c r="J43" s="221"/>
      <c r="K43" s="191">
        <f t="shared" si="14"/>
        <v>0</v>
      </c>
      <c r="L43" s="191">
        <f t="shared" si="15"/>
        <v>0</v>
      </c>
      <c r="M43" s="238"/>
      <c r="N43" s="357"/>
      <c r="O43" s="408"/>
      <c r="P43" s="195"/>
      <c r="Q43" s="196"/>
      <c r="R43" s="196"/>
      <c r="S43" s="192"/>
      <c r="T43" s="255"/>
      <c r="U43" s="193"/>
      <c r="V43">
        <f t="shared" si="16"/>
        <v>0</v>
      </c>
      <c r="W43">
        <f t="shared" si="2"/>
        <v>0</v>
      </c>
      <c r="X43" s="358">
        <f t="shared" si="17"/>
        <v>0</v>
      </c>
      <c r="Y43" s="358">
        <f t="shared" si="18"/>
        <v>0</v>
      </c>
      <c r="Z43" s="358">
        <f t="shared" si="3"/>
        <v>0</v>
      </c>
      <c r="AA43" s="358">
        <f t="shared" si="19"/>
        <v>0</v>
      </c>
      <c r="AB43" s="358">
        <f t="shared" si="20"/>
        <v>0</v>
      </c>
      <c r="AC43" s="358">
        <f>IF(C43="Orlov",Stamoplysninger!$E$21*7.4,0)</f>
        <v>0</v>
      </c>
      <c r="AD43" s="358">
        <f>IF(C43="Rul 1",Rul!$E$46,0)</f>
        <v>0</v>
      </c>
      <c r="AE43" s="358">
        <f>IF(C43="Rul 2",Rul!$G$46,0)</f>
        <v>0</v>
      </c>
      <c r="AF43" s="358">
        <f>IF(C43="Rul 3",Rul!$I$46,0)</f>
        <v>0</v>
      </c>
      <c r="AG43" s="358">
        <f>IF(C43="Rul 4",Rul!$K$46,0)</f>
        <v>0</v>
      </c>
      <c r="AH43" s="358">
        <f>IF(C43="Rul 5",Rul!$M$46,0)</f>
        <v>0</v>
      </c>
      <c r="AI43" s="358">
        <f>IF(C43="Rul 6",Rul!$O$46,0)</f>
        <v>0</v>
      </c>
      <c r="AJ43" s="359">
        <f>IF(AND(C43="Normal uge 1",B43="ma"),'Normal uger'!$E$48,0)</f>
        <v>0</v>
      </c>
      <c r="AK43" s="359">
        <f>IF(AND(C43="Normal uge 1",B43="ti"),'Normal uger'!$G$48,0)</f>
        <v>0</v>
      </c>
      <c r="AL43" s="359">
        <f>IF(AND(C43="Normal uge 1",B43="on"),'Normal uger'!$I$48,0)</f>
        <v>0</v>
      </c>
      <c r="AM43" s="359">
        <f>IF(AND(C43="Normal uge 1",B43="to"),'Normal uger'!$K$48,0)</f>
        <v>0</v>
      </c>
      <c r="AN43" s="359">
        <f>IF(AND(C43="Normal uge 1",B43="fr"),'Normal uger'!$M$48,0)</f>
        <v>0</v>
      </c>
      <c r="AO43" s="360">
        <f>IF(AND(C43="Normal uge 2",B43="ma"),'Normal uger'!$S$48,0)</f>
        <v>0</v>
      </c>
      <c r="AP43" s="360">
        <f>IF(AND(C43="Normal uge 2",B43="ti"),'Normal uger'!$U$48,0)</f>
        <v>0</v>
      </c>
      <c r="AQ43" s="360">
        <f>IF(AND(C43="Normal uge 2",B43="on"),'Normal uger'!$W$48,0)</f>
        <v>0</v>
      </c>
      <c r="AR43" s="360">
        <f>IF(AND(C43="Normal uge 2",B43="to"),'Normal uger'!$Y$48,0)</f>
        <v>0</v>
      </c>
      <c r="AS43" s="360">
        <f>IF(AND(C43="Normal uge 2",B43="fr"),'Normal uger'!$AA$48,0)</f>
        <v>0</v>
      </c>
      <c r="AT43" s="361">
        <f>IF(AND(C43="Normal uge 3",B43="ma"),'Normal uger'!$AG$48,0)</f>
        <v>0</v>
      </c>
      <c r="AU43" s="361">
        <f>IF(AND(C43="Normal uge 3",B43="ti"),'Normal uger'!$AI$48,0)</f>
        <v>0</v>
      </c>
      <c r="AV43" s="361">
        <f>IF(AND(C43="Normal uge 3",B43="on"),'Normal uger'!$AK$48,0)</f>
        <v>0</v>
      </c>
      <c r="AW43" s="361">
        <f>IF(AND(C43="Normal uge 3",B43="to"),'Normal uger'!$AM$48,0)</f>
        <v>0</v>
      </c>
      <c r="AX43" s="361">
        <f>IF(AND(C43="Normal uge 3",B43="fr"),'Normal uger'!$AO$48,0)</f>
        <v>0</v>
      </c>
      <c r="AY43" s="362">
        <f>IF(AND(C43="Normal uge 4",B43="ma"),'Normal uger'!$AU$48,0)</f>
        <v>0</v>
      </c>
      <c r="AZ43" s="362">
        <f>IF(AND(C43="Normal uge 4",B43="ti"),'Normal uger'!$AW$48,0)</f>
        <v>0</v>
      </c>
      <c r="BA43" s="362">
        <f>IF(AND(C43="Normal uge 4",B43="on"),'Normal uger'!$AY$48,0)</f>
        <v>0</v>
      </c>
      <c r="BB43" s="362">
        <f>IF(AND(C43="Normal uge 4",B43="to"),'Normal uger'!$BA$48,0)</f>
        <v>0</v>
      </c>
      <c r="BC43" s="362">
        <f>IF(AND(C43="Normal uge 4",B43="fr"),'Normal uger'!$BC$48,0)</f>
        <v>0</v>
      </c>
      <c r="BD43" s="655">
        <f>IF(AND(C43="Normal uge 5",B43="ma"),'Normal uger'!$BI$48,0)</f>
        <v>0</v>
      </c>
      <c r="BE43" s="655">
        <f>IF(AND(C43="Normal uge 5",B43="ti"),'Normal uger'!$BK$48,0)</f>
        <v>0</v>
      </c>
      <c r="BF43" s="655">
        <f>IF(AND(C43="Normal uge 5",B43="on"),'Normal uger'!$BM$48,0)</f>
        <v>0</v>
      </c>
      <c r="BG43" s="655">
        <f>IF(AND(C43="Normal uge 5",B43="to"),'Normal uger'!$BO$48,0)</f>
        <v>0</v>
      </c>
      <c r="BH43" s="655">
        <f>IF(AND(C43="Normal uge 5",B43="fr"),'Normal uger'!$BQ$48,0)</f>
        <v>0</v>
      </c>
      <c r="BI43" s="654">
        <f>IF(AND(C43="Normal uge 6",B43="ma"),'Normal uger'!$BW$48,0)</f>
        <v>0</v>
      </c>
      <c r="BJ43" s="654">
        <f>IF(AND(C43="Normal uge 6",B43="ti"),'Normal uger'!$BY$48,0)</f>
        <v>0</v>
      </c>
      <c r="BK43" s="654">
        <f>IF(AND(C43="Normal uge 6",B43="on"),'Normal uger'!$CA$48,0)</f>
        <v>0</v>
      </c>
      <c r="BL43" s="654">
        <f>IF(AND(C43="Normal uge 6",B43="to"),'Normal uger'!$CC$48,0)</f>
        <v>0</v>
      </c>
      <c r="BM43" s="654">
        <f>IF(AND(C43="Normal uge 6",B43="fr"),'Normal uger'!$CE$48,0)</f>
        <v>0</v>
      </c>
      <c r="BN43" s="1">
        <f t="shared" si="21"/>
        <v>0</v>
      </c>
      <c r="BO43" s="125">
        <f t="shared" si="4"/>
        <v>0</v>
      </c>
      <c r="BP43" s="358">
        <f t="shared" si="5"/>
        <v>0</v>
      </c>
      <c r="BQ43" s="358">
        <f t="shared" si="22"/>
        <v>0</v>
      </c>
      <c r="BR43" s="358">
        <f t="shared" si="6"/>
        <v>0</v>
      </c>
      <c r="BS43" s="358">
        <f t="shared" si="7"/>
        <v>0</v>
      </c>
      <c r="BT43" s="358">
        <f t="shared" si="8"/>
        <v>0</v>
      </c>
      <c r="BU43" s="358">
        <f>IF(C43="Rul 1",Rul!$E$49,0)</f>
        <v>0</v>
      </c>
      <c r="BV43" s="358">
        <f>IF(C43="Rul 2",Rul!$G$49,0)</f>
        <v>0</v>
      </c>
      <c r="BW43" s="358">
        <f>IF(C43="Rul 3",Rul!$I$49,0)</f>
        <v>0</v>
      </c>
      <c r="BX43" s="358">
        <f>IF(C43="Rul 4",Rul!$K$49,0)</f>
        <v>0</v>
      </c>
      <c r="BY43" s="358">
        <f>IF(C43="Rul 5",Rul!$M$49,0)</f>
        <v>0</v>
      </c>
      <c r="BZ43" s="358">
        <f>IF(C43="Rul 6",Rul!$O$49,0)</f>
        <v>0</v>
      </c>
      <c r="CA43" s="359">
        <f>IF(AND(C43="Normal uge 1",B43="ma"),'Normal uger'!$E$51,0)</f>
        <v>0</v>
      </c>
      <c r="CB43" s="359">
        <f>IF(AND(C43="Normal uge 1",B43="ti"),'Normal uger'!$G$51,0)</f>
        <v>0</v>
      </c>
      <c r="CC43" s="359">
        <f>IF(AND(C43="Normal uge 1",B43="on"),'Normal uger'!$I$51,0)</f>
        <v>0</v>
      </c>
      <c r="CD43" s="359">
        <f>IF(AND(C43="Normal uge 1",B43="to"),'Normal uger'!$K$51,0)</f>
        <v>0</v>
      </c>
      <c r="CE43" s="359">
        <f>IF(AND(C43="Normal uge 1",B43="fr"),'Normal uger'!$M$51,0)</f>
        <v>0</v>
      </c>
      <c r="CF43" s="360">
        <f>IF(AND(C43="Normal uge 2",B43="ma"),'Normal uger'!$S$51,0)</f>
        <v>0</v>
      </c>
      <c r="CG43" s="360">
        <f>IF(AND(C43="Normal uge 2",B43="ti"),'Normal uger'!$U$51,0)</f>
        <v>0</v>
      </c>
      <c r="CH43" s="360">
        <f>IF(AND(C43="Normal uge 2",B43="on"),'Normal uger'!$W$51,0)</f>
        <v>0</v>
      </c>
      <c r="CI43" s="360">
        <f>IF(AND(C43="Normal uge 2",B43="to"),'Normal uger'!$Y$51,0)</f>
        <v>0</v>
      </c>
      <c r="CJ43" s="360">
        <f>IF(AND(C43="Normal uge 2",B43="fr"),'Normal uger'!$AA$51,0)</f>
        <v>0</v>
      </c>
      <c r="CK43" s="361">
        <f>IF(AND(C43="Normal uge 3",B43="ma"),'Normal uger'!$AG$51,0)</f>
        <v>0</v>
      </c>
      <c r="CL43" s="361">
        <f>IF(AND(C43="Normal uge 3",B43="ti"),'Normal uger'!$AI$51,0)</f>
        <v>0</v>
      </c>
      <c r="CM43" s="361">
        <f>IF(AND(C43="Normal uge 3",B43="on"),'Normal uger'!$AK$51,0)</f>
        <v>0</v>
      </c>
      <c r="CN43" s="361">
        <f>IF(AND(C43="Normal uge 3",B43="to"),'Normal uger'!$AM$51,0)</f>
        <v>0</v>
      </c>
      <c r="CO43" s="361">
        <f>IF(AND(C43="Normal uge 3",B43="fr"),'Normal uger'!$AO$51,0)</f>
        <v>0</v>
      </c>
      <c r="CP43" s="362">
        <f>IF(AND(C43="Normal uge 4",B43="ma"),'Normal uger'!$AU$51,0)</f>
        <v>0</v>
      </c>
      <c r="CQ43" s="362">
        <f>IF(AND(C43="Normal uge 4",B43="ti"),'Normal uger'!$AW$51,0)</f>
        <v>0</v>
      </c>
      <c r="CR43" s="362">
        <f>IF(AND(C43="Normal uge 4",B43="on"),'Normal uger'!$AY$51,0)</f>
        <v>0</v>
      </c>
      <c r="CS43" s="362">
        <f>IF(AND(C43="Normal uge 4",B43="to"),'Normal uger'!$BA$51,0)</f>
        <v>0</v>
      </c>
      <c r="CT43" s="362">
        <f>IF(AND(C43="Normal uge 4",B43="fr"),'Normal uger'!$BC$51,0)</f>
        <v>0</v>
      </c>
      <c r="CU43" s="655">
        <f>IF(AND(C43="Normal uge 5",B43="ma"),'Normal uger'!$BI$51,0)</f>
        <v>0</v>
      </c>
      <c r="CV43" s="655">
        <f>IF(AND(C43="Normal uge 5",B43="ti"),'Normal uger'!$BK$51,0)</f>
        <v>0</v>
      </c>
      <c r="CW43" s="655">
        <f>IF(AND(C43="Normal uge 5",B43="on"),'Normal uger'!$BM$51,0)</f>
        <v>0</v>
      </c>
      <c r="CX43" s="655">
        <f>IF(AND(C43="Normal uge 5",B43="to"),'Normal uger'!$BO$51,0)</f>
        <v>0</v>
      </c>
      <c r="CY43" s="655">
        <f>IF(AND(C43="Normal uge 5",B43="fr"),'Normal uger'!$BQ$51,0)</f>
        <v>0</v>
      </c>
      <c r="CZ43" s="654">
        <f>IF(AND(C43="Normal uge 6",B43="ma"),'Normal uger'!$BW$51,0)</f>
        <v>0</v>
      </c>
      <c r="DA43" s="654">
        <f>IF(AND(C43="Normal uge 6",B43="ti"),'Normal uger'!$BY$51,0)</f>
        <v>0</v>
      </c>
      <c r="DB43" s="654">
        <f>IF(AND(C43="Normal uge 6",B43="on"),'Normal uger'!$CA$51,0)</f>
        <v>0</v>
      </c>
      <c r="DC43" s="654">
        <f>IF(AND(C43="Normal uge 6",B43="to"),'Normal uger'!$CC$51,0)</f>
        <v>0</v>
      </c>
      <c r="DD43" s="654">
        <f>IF(AND(C43="Normal uge 6",B43="fr"),'Normal uger'!$CE$51,0)</f>
        <v>0</v>
      </c>
      <c r="DE43" s="1">
        <f t="shared" si="23"/>
        <v>0</v>
      </c>
      <c r="DF43" t="str">
        <f t="shared" si="9"/>
        <v/>
      </c>
      <c r="DG43">
        <f t="shared" si="10"/>
        <v>0</v>
      </c>
      <c r="DH43">
        <f t="shared" si="11"/>
        <v>0</v>
      </c>
      <c r="DI43" t="str">
        <f t="shared" si="12"/>
        <v/>
      </c>
      <c r="DJ43" t="str">
        <f t="shared" si="12"/>
        <v/>
      </c>
      <c r="DK43" t="str">
        <f t="shared" si="12"/>
        <v/>
      </c>
      <c r="DL43" t="str">
        <f t="shared" si="24"/>
        <v/>
      </c>
    </row>
    <row r="44" spans="1:116">
      <c r="A44" s="135">
        <f t="shared" si="13"/>
        <v>30</v>
      </c>
      <c r="B44" s="72" t="str">
        <f t="shared" si="0"/>
        <v>to</v>
      </c>
      <c r="C44" s="73" t="s">
        <v>217</v>
      </c>
      <c r="D44" s="74" t="str">
        <f t="shared" si="1"/>
        <v/>
      </c>
      <c r="E44" s="858"/>
      <c r="F44" s="859"/>
      <c r="G44" s="860"/>
      <c r="H44" s="175"/>
      <c r="I44" s="221"/>
      <c r="J44" s="221"/>
      <c r="K44" s="191">
        <f t="shared" si="14"/>
        <v>0</v>
      </c>
      <c r="L44" s="191">
        <f t="shared" si="15"/>
        <v>0</v>
      </c>
      <c r="M44" s="238"/>
      <c r="N44" s="357"/>
      <c r="O44" s="408"/>
      <c r="P44" s="195"/>
      <c r="Q44" s="196"/>
      <c r="R44" s="254"/>
      <c r="S44" s="192"/>
      <c r="T44" s="255"/>
      <c r="U44" s="193"/>
      <c r="V44">
        <f t="shared" si="16"/>
        <v>0</v>
      </c>
      <c r="W44">
        <f t="shared" si="2"/>
        <v>0</v>
      </c>
      <c r="X44" s="358">
        <f t="shared" si="17"/>
        <v>0</v>
      </c>
      <c r="Y44" s="358">
        <f t="shared" si="18"/>
        <v>0</v>
      </c>
      <c r="Z44" s="358">
        <f t="shared" si="3"/>
        <v>0</v>
      </c>
      <c r="AA44" s="358">
        <f t="shared" si="19"/>
        <v>0</v>
      </c>
      <c r="AB44" s="358">
        <f t="shared" si="20"/>
        <v>0</v>
      </c>
      <c r="AC44" s="358">
        <f>IF(C44="Orlov",Stamoplysninger!$E$21*7.4,0)</f>
        <v>0</v>
      </c>
      <c r="AD44" s="358">
        <f>IF(C44="Rul 1",Rul!$E$46,0)</f>
        <v>0</v>
      </c>
      <c r="AE44" s="358">
        <f>IF(C44="Rul 2",Rul!$G$46,0)</f>
        <v>0</v>
      </c>
      <c r="AF44" s="358">
        <f>IF(C44="Rul 3",Rul!$I$46,0)</f>
        <v>0</v>
      </c>
      <c r="AG44" s="358">
        <f>IF(C44="Rul 4",Rul!$K$46,0)</f>
        <v>0</v>
      </c>
      <c r="AH44" s="358">
        <f>IF(C44="Rul 5",Rul!$M$46,0)</f>
        <v>0</v>
      </c>
      <c r="AI44" s="358">
        <f>IF(C44="Rul 6",Rul!$O$46,0)</f>
        <v>0</v>
      </c>
      <c r="AJ44" s="359">
        <f>IF(AND(C44="Normal uge 1",B44="ma"),'Normal uger'!$E$48,0)</f>
        <v>0</v>
      </c>
      <c r="AK44" s="359">
        <f>IF(AND(C44="Normal uge 1",B44="ti"),'Normal uger'!$G$48,0)</f>
        <v>0</v>
      </c>
      <c r="AL44" s="359">
        <f>IF(AND(C44="Normal uge 1",B44="on"),'Normal uger'!$I$48,0)</f>
        <v>0</v>
      </c>
      <c r="AM44" s="359">
        <f>IF(AND(C44="Normal uge 1",B44="to"),'Normal uger'!$K$48,0)</f>
        <v>0</v>
      </c>
      <c r="AN44" s="359">
        <f>IF(AND(C44="Normal uge 1",B44="fr"),'Normal uger'!$M$48,0)</f>
        <v>0</v>
      </c>
      <c r="AO44" s="360">
        <f>IF(AND(C44="Normal uge 2",B44="ma"),'Normal uger'!$S$48,0)</f>
        <v>0</v>
      </c>
      <c r="AP44" s="360">
        <f>IF(AND(C44="Normal uge 2",B44="ti"),'Normal uger'!$U$48,0)</f>
        <v>0</v>
      </c>
      <c r="AQ44" s="360">
        <f>IF(AND(C44="Normal uge 2",B44="on"),'Normal uger'!$W$48,0)</f>
        <v>0</v>
      </c>
      <c r="AR44" s="360">
        <f>IF(AND(C44="Normal uge 2",B44="to"),'Normal uger'!$Y$48,0)</f>
        <v>0</v>
      </c>
      <c r="AS44" s="360">
        <f>IF(AND(C44="Normal uge 2",B44="fr"),'Normal uger'!$AA$48,0)</f>
        <v>0</v>
      </c>
      <c r="AT44" s="361">
        <f>IF(AND(C44="Normal uge 3",B44="ma"),'Normal uger'!$AG$48,0)</f>
        <v>0</v>
      </c>
      <c r="AU44" s="361">
        <f>IF(AND(C44="Normal uge 3",B44="ti"),'Normal uger'!$AI$48,0)</f>
        <v>0</v>
      </c>
      <c r="AV44" s="361">
        <f>IF(AND(C44="Normal uge 3",B44="on"),'Normal uger'!$AK$48,0)</f>
        <v>0</v>
      </c>
      <c r="AW44" s="361">
        <f>IF(AND(C44="Normal uge 3",B44="to"),'Normal uger'!$AM$48,0)</f>
        <v>0</v>
      </c>
      <c r="AX44" s="361">
        <f>IF(AND(C44="Normal uge 3",B44="fr"),'Normal uger'!$AO$48,0)</f>
        <v>0</v>
      </c>
      <c r="AY44" s="362">
        <f>IF(AND(C44="Normal uge 4",B44="ma"),'Normal uger'!$AU$48,0)</f>
        <v>0</v>
      </c>
      <c r="AZ44" s="362">
        <f>IF(AND(C44="Normal uge 4",B44="ti"),'Normal uger'!$AW$48,0)</f>
        <v>0</v>
      </c>
      <c r="BA44" s="362">
        <f>IF(AND(C44="Normal uge 4",B44="on"),'Normal uger'!$AY$48,0)</f>
        <v>0</v>
      </c>
      <c r="BB44" s="362">
        <f>IF(AND(C44="Normal uge 4",B44="to"),'Normal uger'!$BA$48,0)</f>
        <v>0</v>
      </c>
      <c r="BC44" s="362">
        <f>IF(AND(C44="Normal uge 4",B44="fr"),'Normal uger'!$BC$48,0)</f>
        <v>0</v>
      </c>
      <c r="BD44" s="655">
        <f>IF(AND(C44="Normal uge 5",B44="ma"),'Normal uger'!$BI$48,0)</f>
        <v>0</v>
      </c>
      <c r="BE44" s="655">
        <f>IF(AND(C44="Normal uge 5",B44="ti"),'Normal uger'!$BK$48,0)</f>
        <v>0</v>
      </c>
      <c r="BF44" s="655">
        <f>IF(AND(C44="Normal uge 5",B44="on"),'Normal uger'!$BM$48,0)</f>
        <v>0</v>
      </c>
      <c r="BG44" s="655">
        <f>IF(AND(C44="Normal uge 5",B44="to"),'Normal uger'!$BO$48,0)</f>
        <v>0</v>
      </c>
      <c r="BH44" s="655">
        <f>IF(AND(C44="Normal uge 5",B44="fr"),'Normal uger'!$BQ$48,0)</f>
        <v>0</v>
      </c>
      <c r="BI44" s="654">
        <f>IF(AND(C44="Normal uge 6",B44="ma"),'Normal uger'!$BW$48,0)</f>
        <v>0</v>
      </c>
      <c r="BJ44" s="654">
        <f>IF(AND(C44="Normal uge 6",B44="ti"),'Normal uger'!$BY$48,0)</f>
        <v>0</v>
      </c>
      <c r="BK44" s="654">
        <f>IF(AND(C44="Normal uge 6",B44="on"),'Normal uger'!$CA$48,0)</f>
        <v>0</v>
      </c>
      <c r="BL44" s="654">
        <f>IF(AND(C44="Normal uge 6",B44="to"),'Normal uger'!$CC$48,0)</f>
        <v>0</v>
      </c>
      <c r="BM44" s="654">
        <f>IF(AND(C44="Normal uge 6",B44="fr"),'Normal uger'!$CE$48,0)</f>
        <v>0</v>
      </c>
      <c r="BN44" s="1">
        <f t="shared" si="21"/>
        <v>0</v>
      </c>
      <c r="BO44" s="125">
        <f t="shared" si="4"/>
        <v>0</v>
      </c>
      <c r="BP44" s="358">
        <f t="shared" si="5"/>
        <v>0</v>
      </c>
      <c r="BQ44" s="358">
        <f t="shared" si="22"/>
        <v>0</v>
      </c>
      <c r="BR44" s="358">
        <f t="shared" si="6"/>
        <v>0</v>
      </c>
      <c r="BS44" s="358">
        <f t="shared" si="7"/>
        <v>0</v>
      </c>
      <c r="BT44" s="358">
        <f t="shared" si="8"/>
        <v>0</v>
      </c>
      <c r="BU44" s="358">
        <f>IF(C44="Rul 1",Rul!$E$49,0)</f>
        <v>0</v>
      </c>
      <c r="BV44" s="358">
        <f>IF(C44="Rul 2",Rul!$G$49,0)</f>
        <v>0</v>
      </c>
      <c r="BW44" s="358">
        <f>IF(C44="Rul 3",Rul!$I$49,0)</f>
        <v>0</v>
      </c>
      <c r="BX44" s="358">
        <f>IF(C44="Rul 4",Rul!$K$49,0)</f>
        <v>0</v>
      </c>
      <c r="BY44" s="358">
        <f>IF(C44="Rul 5",Rul!$M$49,0)</f>
        <v>0</v>
      </c>
      <c r="BZ44" s="358">
        <f>IF(C44="Rul 6",Rul!$O$49,0)</f>
        <v>0</v>
      </c>
      <c r="CA44" s="359">
        <f>IF(AND(C44="Normal uge 1",B44="ma"),'Normal uger'!$E$51,0)</f>
        <v>0</v>
      </c>
      <c r="CB44" s="359">
        <f>IF(AND(C44="Normal uge 1",B44="ti"),'Normal uger'!$G$51,0)</f>
        <v>0</v>
      </c>
      <c r="CC44" s="359">
        <f>IF(AND(C44="Normal uge 1",B44="on"),'Normal uger'!$I$51,0)</f>
        <v>0</v>
      </c>
      <c r="CD44" s="359">
        <f>IF(AND(C44="Normal uge 1",B44="to"),'Normal uger'!$K$51,0)</f>
        <v>0</v>
      </c>
      <c r="CE44" s="359">
        <f>IF(AND(C44="Normal uge 1",B44="fr"),'Normal uger'!$M$51,0)</f>
        <v>0</v>
      </c>
      <c r="CF44" s="360">
        <f>IF(AND(C44="Normal uge 2",B44="ma"),'Normal uger'!$S$51,0)</f>
        <v>0</v>
      </c>
      <c r="CG44" s="360">
        <f>IF(AND(C44="Normal uge 2",B44="ti"),'Normal uger'!$U$51,0)</f>
        <v>0</v>
      </c>
      <c r="CH44" s="360">
        <f>IF(AND(C44="Normal uge 2",B44="on"),'Normal uger'!$W$51,0)</f>
        <v>0</v>
      </c>
      <c r="CI44" s="360">
        <f>IF(AND(C44="Normal uge 2",B44="to"),'Normal uger'!$Y$51,0)</f>
        <v>0</v>
      </c>
      <c r="CJ44" s="360">
        <f>IF(AND(C44="Normal uge 2",B44="fr"),'Normal uger'!$AA$51,0)</f>
        <v>0</v>
      </c>
      <c r="CK44" s="361">
        <f>IF(AND(C44="Normal uge 3",B44="ma"),'Normal uger'!$AG$51,0)</f>
        <v>0</v>
      </c>
      <c r="CL44" s="361">
        <f>IF(AND(C44="Normal uge 3",B44="ti"),'Normal uger'!$AI$51,0)</f>
        <v>0</v>
      </c>
      <c r="CM44" s="361">
        <f>IF(AND(C44="Normal uge 3",B44="on"),'Normal uger'!$AK$51,0)</f>
        <v>0</v>
      </c>
      <c r="CN44" s="361">
        <f>IF(AND(C44="Normal uge 3",B44="to"),'Normal uger'!$AM$51,0)</f>
        <v>0</v>
      </c>
      <c r="CO44" s="361">
        <f>IF(AND(C44="Normal uge 3",B44="fr"),'Normal uger'!$AO$51,0)</f>
        <v>0</v>
      </c>
      <c r="CP44" s="362">
        <f>IF(AND(C44="Normal uge 4",B44="ma"),'Normal uger'!$AU$51,0)</f>
        <v>0</v>
      </c>
      <c r="CQ44" s="362">
        <f>IF(AND(C44="Normal uge 4",B44="ti"),'Normal uger'!$AW$51,0)</f>
        <v>0</v>
      </c>
      <c r="CR44" s="362">
        <f>IF(AND(C44="Normal uge 4",B44="on"),'Normal uger'!$AY$51,0)</f>
        <v>0</v>
      </c>
      <c r="CS44" s="362">
        <f>IF(AND(C44="Normal uge 4",B44="to"),'Normal uger'!$BA$51,0)</f>
        <v>0</v>
      </c>
      <c r="CT44" s="362">
        <f>IF(AND(C44="Normal uge 4",B44="fr"),'Normal uger'!$BC$51,0)</f>
        <v>0</v>
      </c>
      <c r="CU44" s="655">
        <f>IF(AND(C44="Normal uge 5",B44="ma"),'Normal uger'!$BI$51,0)</f>
        <v>0</v>
      </c>
      <c r="CV44" s="655">
        <f>IF(AND(C44="Normal uge 5",B44="ti"),'Normal uger'!$BK$51,0)</f>
        <v>0</v>
      </c>
      <c r="CW44" s="655">
        <f>IF(AND(C44="Normal uge 5",B44="on"),'Normal uger'!$BM$51,0)</f>
        <v>0</v>
      </c>
      <c r="CX44" s="655">
        <f>IF(AND(C44="Normal uge 5",B44="to"),'Normal uger'!$BO$51,0)</f>
        <v>0</v>
      </c>
      <c r="CY44" s="655">
        <f>IF(AND(C44="Normal uge 5",B44="fr"),'Normal uger'!$BQ$51,0)</f>
        <v>0</v>
      </c>
      <c r="CZ44" s="654">
        <f>IF(AND(C44="Normal uge 6",B44="ma"),'Normal uger'!$BW$51,0)</f>
        <v>0</v>
      </c>
      <c r="DA44" s="654">
        <f>IF(AND(C44="Normal uge 6",B44="ti"),'Normal uger'!$BY$51,0)</f>
        <v>0</v>
      </c>
      <c r="DB44" s="654">
        <f>IF(AND(C44="Normal uge 6",B44="on"),'Normal uger'!$CA$51,0)</f>
        <v>0</v>
      </c>
      <c r="DC44" s="654">
        <f>IF(AND(C44="Normal uge 6",B44="to"),'Normal uger'!$CC$51,0)</f>
        <v>0</v>
      </c>
      <c r="DD44" s="654">
        <f>IF(AND(C44="Normal uge 6",B44="fr"),'Normal uger'!$CE$51,0)</f>
        <v>0</v>
      </c>
      <c r="DE44" s="1">
        <f t="shared" si="23"/>
        <v>0</v>
      </c>
      <c r="DF44" t="str">
        <f t="shared" si="9"/>
        <v/>
      </c>
      <c r="DG44">
        <f t="shared" si="10"/>
        <v>0</v>
      </c>
      <c r="DH44">
        <f t="shared" si="11"/>
        <v>0</v>
      </c>
      <c r="DI44" t="str">
        <f t="shared" si="12"/>
        <v/>
      </c>
      <c r="DJ44" t="str">
        <f t="shared" si="12"/>
        <v/>
      </c>
      <c r="DK44" t="str">
        <f t="shared" si="12"/>
        <v/>
      </c>
      <c r="DL44" t="str">
        <f t="shared" si="24"/>
        <v/>
      </c>
    </row>
    <row r="45" spans="1:116">
      <c r="A45" s="135">
        <f>IF(ISNUMBER(A44),A44+1,1)</f>
        <v>31</v>
      </c>
      <c r="B45" s="72" t="str">
        <f t="shared" si="0"/>
        <v>fr</v>
      </c>
      <c r="C45" s="73" t="s">
        <v>217</v>
      </c>
      <c r="D45" s="74" t="str">
        <f t="shared" si="1"/>
        <v/>
      </c>
      <c r="E45" s="861"/>
      <c r="F45" s="862"/>
      <c r="G45" s="863"/>
      <c r="H45" s="174"/>
      <c r="I45" s="221"/>
      <c r="J45" s="221"/>
      <c r="K45" s="191">
        <f t="shared" si="14"/>
        <v>0</v>
      </c>
      <c r="L45" s="191">
        <f t="shared" si="15"/>
        <v>0</v>
      </c>
      <c r="M45" s="238"/>
      <c r="N45" s="357"/>
      <c r="O45" s="408"/>
      <c r="P45" s="195"/>
      <c r="Q45" s="196"/>
      <c r="R45" s="118"/>
      <c r="S45" s="192"/>
      <c r="T45" s="255"/>
      <c r="U45" s="256"/>
      <c r="V45">
        <f t="shared" si="16"/>
        <v>0</v>
      </c>
      <c r="W45">
        <f t="shared" si="2"/>
        <v>0</v>
      </c>
      <c r="X45" s="358">
        <f t="shared" si="17"/>
        <v>0</v>
      </c>
      <c r="Y45" s="358">
        <f t="shared" si="18"/>
        <v>0</v>
      </c>
      <c r="Z45" s="358">
        <f t="shared" si="3"/>
        <v>0</v>
      </c>
      <c r="AA45" s="358">
        <f t="shared" si="19"/>
        <v>0</v>
      </c>
      <c r="AB45" s="358">
        <f t="shared" si="20"/>
        <v>0</v>
      </c>
      <c r="AC45" s="358">
        <f>IF(C45="Orlov",Stamoplysninger!$E$21*7.4,0)</f>
        <v>0</v>
      </c>
      <c r="AD45" s="358">
        <f>IF(C45="Rul 1",Rul!$E$46,0)</f>
        <v>0</v>
      </c>
      <c r="AE45" s="358">
        <f>IF(C45="Rul 2",Rul!$G$46,0)</f>
        <v>0</v>
      </c>
      <c r="AF45" s="358">
        <f>IF(C45="Rul 3",Rul!$I$46,0)</f>
        <v>0</v>
      </c>
      <c r="AG45" s="358">
        <f>IF(C45="Rul 4",Rul!$K$46,0)</f>
        <v>0</v>
      </c>
      <c r="AH45" s="358">
        <f>IF(C45="Rul 5",Rul!$M$46,0)</f>
        <v>0</v>
      </c>
      <c r="AI45" s="358">
        <f>IF(C45="Rul 6",Rul!$O$46,0)</f>
        <v>0</v>
      </c>
      <c r="AJ45" s="359">
        <f>IF(AND(C45="Normal uge 1",B45="ma"),'Normal uger'!$E$48,0)</f>
        <v>0</v>
      </c>
      <c r="AK45" s="359">
        <f>IF(AND(C45="Normal uge 1",B45="ti"),'Normal uger'!$G$48,0)</f>
        <v>0</v>
      </c>
      <c r="AL45" s="359">
        <f>IF(AND(C45="Normal uge 1",B45="on"),'Normal uger'!$I$48,0)</f>
        <v>0</v>
      </c>
      <c r="AM45" s="359">
        <f>IF(AND(C45="Normal uge 1",B45="to"),'Normal uger'!$K$48,0)</f>
        <v>0</v>
      </c>
      <c r="AN45" s="359">
        <f>IF(AND(C45="Normal uge 1",B45="fr"),'Normal uger'!$M$48,0)</f>
        <v>0</v>
      </c>
      <c r="AO45" s="360">
        <f>IF(AND(C45="Normal uge 2",B45="ma"),'Normal uger'!$S$48,0)</f>
        <v>0</v>
      </c>
      <c r="AP45" s="360">
        <f>IF(AND(C45="Normal uge 2",B45="ti"),'Normal uger'!$U$48,0)</f>
        <v>0</v>
      </c>
      <c r="AQ45" s="360">
        <f>IF(AND(C45="Normal uge 2",B45="on"),'Normal uger'!$W$48,0)</f>
        <v>0</v>
      </c>
      <c r="AR45" s="360">
        <f>IF(AND(C45="Normal uge 2",B45="to"),'Normal uger'!$Y$48,0)</f>
        <v>0</v>
      </c>
      <c r="AS45" s="360">
        <f>IF(AND(C45="Normal uge 2",B45="fr"),'Normal uger'!$AA$48,0)</f>
        <v>0</v>
      </c>
      <c r="AT45" s="361">
        <f>IF(AND(C45="Normal uge 3",B45="ma"),'Normal uger'!$AG$48,0)</f>
        <v>0</v>
      </c>
      <c r="AU45" s="361">
        <f>IF(AND(C45="Normal uge 3",B45="ti"),'Normal uger'!$AI$48,0)</f>
        <v>0</v>
      </c>
      <c r="AV45" s="361">
        <f>IF(AND(C45="Normal uge 3",B45="on"),'Normal uger'!$AK$48,0)</f>
        <v>0</v>
      </c>
      <c r="AW45" s="361">
        <f>IF(AND(C45="Normal uge 3",B45="to"),'Normal uger'!$AM$48,0)</f>
        <v>0</v>
      </c>
      <c r="AX45" s="361">
        <f>IF(AND(C45="Normal uge 3",B45="fr"),'Normal uger'!$AO$48,0)</f>
        <v>0</v>
      </c>
      <c r="AY45" s="362">
        <f>IF(AND(C45="Normal uge 4",B45="ma"),'Normal uger'!$AU$48,0)</f>
        <v>0</v>
      </c>
      <c r="AZ45" s="362">
        <f>IF(AND(C45="Normal uge 4",B45="ti"),'Normal uger'!$AW$48,0)</f>
        <v>0</v>
      </c>
      <c r="BA45" s="362">
        <f>IF(AND(C45="Normal uge 4",B45="on"),'Normal uger'!$AY$48,0)</f>
        <v>0</v>
      </c>
      <c r="BB45" s="362">
        <f>IF(AND(C45="Normal uge 4",B45="to"),'Normal uger'!$BA$48,0)</f>
        <v>0</v>
      </c>
      <c r="BC45" s="362">
        <f>IF(AND(C45="Normal uge 4",B45="fr"),'Normal uger'!$BC$48,0)</f>
        <v>0</v>
      </c>
      <c r="BD45" s="655">
        <f>IF(AND(C45="Normal uge 5",B45="ma"),'Normal uger'!$BI$48,0)</f>
        <v>0</v>
      </c>
      <c r="BE45" s="655">
        <f>IF(AND(C45="Normal uge 5",B45="ti"),'Normal uger'!$BK$48,0)</f>
        <v>0</v>
      </c>
      <c r="BF45" s="655">
        <f>IF(AND(C45="Normal uge 5",B45="on"),'Normal uger'!$BM$48,0)</f>
        <v>0</v>
      </c>
      <c r="BG45" s="655">
        <f>IF(AND(C45="Normal uge 5",B45="to"),'Normal uger'!$BO$48,0)</f>
        <v>0</v>
      </c>
      <c r="BH45" s="655">
        <f>IF(AND(C45="Normal uge 5",B45="fr"),'Normal uger'!$BQ$48,0)</f>
        <v>0</v>
      </c>
      <c r="BI45" s="654">
        <f>IF(AND(C45="Normal uge 6",B45="ma"),'Normal uger'!$BW$48,0)</f>
        <v>0</v>
      </c>
      <c r="BJ45" s="654">
        <f>IF(AND(C45="Normal uge 6",B45="ti"),'Normal uger'!$BY$48,0)</f>
        <v>0</v>
      </c>
      <c r="BK45" s="654">
        <f>IF(AND(C45="Normal uge 6",B45="on"),'Normal uger'!$CA$48,0)</f>
        <v>0</v>
      </c>
      <c r="BL45" s="654">
        <f>IF(AND(C45="Normal uge 6",B45="to"),'Normal uger'!$CC$48,0)</f>
        <v>0</v>
      </c>
      <c r="BM45" s="654">
        <f>IF(AND(C45="Normal uge 6",B45="fr"),'Normal uger'!$CE$48,0)</f>
        <v>0</v>
      </c>
      <c r="BN45" s="1">
        <f>SUM(X45:BM45)</f>
        <v>0</v>
      </c>
      <c r="BO45" s="125">
        <f t="shared" si="4"/>
        <v>0</v>
      </c>
      <c r="BP45" s="358">
        <f t="shared" si="5"/>
        <v>0</v>
      </c>
      <c r="BQ45" s="358">
        <f t="shared" si="22"/>
        <v>0</v>
      </c>
      <c r="BR45" s="358">
        <f t="shared" si="6"/>
        <v>0</v>
      </c>
      <c r="BS45" s="358">
        <f t="shared" si="7"/>
        <v>0</v>
      </c>
      <c r="BT45" s="358">
        <f t="shared" si="8"/>
        <v>0</v>
      </c>
      <c r="BU45" s="358">
        <f>IF(C45="Rul 1",Rul!$E$49,0)</f>
        <v>0</v>
      </c>
      <c r="BV45" s="358">
        <f>IF(C45="Rul 2",Rul!$G$49,0)</f>
        <v>0</v>
      </c>
      <c r="BW45" s="358">
        <f>IF(C45="Rul 3",Rul!$I$49,0)</f>
        <v>0</v>
      </c>
      <c r="BX45" s="358">
        <f>IF(C45="Rul 4",Rul!$K$49,0)</f>
        <v>0</v>
      </c>
      <c r="BY45" s="358">
        <f>IF(C45="Rul 5",Rul!$M$49,0)</f>
        <v>0</v>
      </c>
      <c r="BZ45" s="358">
        <f>IF(C45="Rul 6",Rul!$O$49,0)</f>
        <v>0</v>
      </c>
      <c r="CA45" s="359">
        <f>IF(AND(C45="Normal uge 1",B45="ma"),'Normal uger'!$E$51,0)</f>
        <v>0</v>
      </c>
      <c r="CB45" s="359">
        <f>IF(AND(C45="Normal uge 1",B45="ti"),'Normal uger'!$G$51,0)</f>
        <v>0</v>
      </c>
      <c r="CC45" s="359">
        <f>IF(AND(C45="Normal uge 1",B45="on"),'Normal uger'!$I$51,0)</f>
        <v>0</v>
      </c>
      <c r="CD45" s="359">
        <f>IF(AND(C45="Normal uge 1",B45="to"),'Normal uger'!$K$51,0)</f>
        <v>0</v>
      </c>
      <c r="CE45" s="359">
        <f>IF(AND(C45="Normal uge 1",B45="fr"),'Normal uger'!$M$51,0)</f>
        <v>0</v>
      </c>
      <c r="CF45" s="360">
        <f>IF(AND(C45="Normal uge 2",B45="ma"),'Normal uger'!$S$51,0)</f>
        <v>0</v>
      </c>
      <c r="CG45" s="360">
        <f>IF(AND(C45="Normal uge 2",B45="ti"),'Normal uger'!$U$51,0)</f>
        <v>0</v>
      </c>
      <c r="CH45" s="360">
        <f>IF(AND(C45="Normal uge 2",B45="on"),'Normal uger'!$W$51,0)</f>
        <v>0</v>
      </c>
      <c r="CI45" s="360">
        <f>IF(AND(C45="Normal uge 2",B45="to"),'Normal uger'!$Y$51,0)</f>
        <v>0</v>
      </c>
      <c r="CJ45" s="360">
        <f>IF(AND(C45="Normal uge 2",B45="fr"),'Normal uger'!$AA$51,0)</f>
        <v>0</v>
      </c>
      <c r="CK45" s="361">
        <f>IF(AND(C45="Normal uge 3",B45="ma"),'Normal uger'!$AG$51,0)</f>
        <v>0</v>
      </c>
      <c r="CL45" s="361">
        <f>IF(AND(C45="Normal uge 3",B45="ti"),'Normal uger'!$AI$51,0)</f>
        <v>0</v>
      </c>
      <c r="CM45" s="361">
        <f>IF(AND(C45="Normal uge 3",B45="on"),'Normal uger'!$AK$51,0)</f>
        <v>0</v>
      </c>
      <c r="CN45" s="361">
        <f>IF(AND(C45="Normal uge 3",B45="to"),'Normal uger'!$AM$51,0)</f>
        <v>0</v>
      </c>
      <c r="CO45" s="361">
        <f>IF(AND(C45="Normal uge 3",B45="fr"),'Normal uger'!$AO$51,0)</f>
        <v>0</v>
      </c>
      <c r="CP45" s="362">
        <f>IF(AND(C45="Normal uge 4",B45="ma"),'Normal uger'!$AU$51,0)</f>
        <v>0</v>
      </c>
      <c r="CQ45" s="362">
        <f>IF(AND(C45="Normal uge 4",B45="ti"),'Normal uger'!$AW$51,0)</f>
        <v>0</v>
      </c>
      <c r="CR45" s="362">
        <f>IF(AND(C45="Normal uge 4",B45="on"),'Normal uger'!$AY$51,0)</f>
        <v>0</v>
      </c>
      <c r="CS45" s="362">
        <f>IF(AND(C45="Normal uge 4",B45="to"),'Normal uger'!$BA$51,0)</f>
        <v>0</v>
      </c>
      <c r="CT45" s="362">
        <f>IF(AND(C45="Normal uge 4",B45="fr"),'Normal uger'!$BC$51,0)</f>
        <v>0</v>
      </c>
      <c r="CU45" s="655">
        <f>IF(AND(C45="Normal uge 5",B45="ma"),'Normal uger'!$BI$51,0)</f>
        <v>0</v>
      </c>
      <c r="CV45" s="655">
        <f>IF(AND(C45="Normal uge 5",B45="ti"),'Normal uger'!$BK$51,0)</f>
        <v>0</v>
      </c>
      <c r="CW45" s="655">
        <f>IF(AND(C45="Normal uge 5",B45="on"),'Normal uger'!$BM$51,0)</f>
        <v>0</v>
      </c>
      <c r="CX45" s="655">
        <f>IF(AND(C45="Normal uge 5",B45="to"),'Normal uger'!$BO$51,0)</f>
        <v>0</v>
      </c>
      <c r="CY45" s="655">
        <f>IF(AND(C45="Normal uge 5",B45="fr"),'Normal uger'!$BQ$51,0)</f>
        <v>0</v>
      </c>
      <c r="CZ45" s="654">
        <f>IF(AND(C45="Normal uge 6",B45="ma"),'Normal uger'!$BW$51,0)</f>
        <v>0</v>
      </c>
      <c r="DA45" s="654">
        <f>IF(AND(C45="Normal uge 6",B45="ti"),'Normal uger'!$BY$51,0)</f>
        <v>0</v>
      </c>
      <c r="DB45" s="654">
        <f>IF(AND(C45="Normal uge 6",B45="on"),'Normal uger'!$CA$51,0)</f>
        <v>0</v>
      </c>
      <c r="DC45" s="654">
        <f>IF(AND(C45="Normal uge 6",B45="to"),'Normal uger'!$CC$51,0)</f>
        <v>0</v>
      </c>
      <c r="DD45" s="654">
        <f>IF(AND(C45="Normal uge 6",B45="fr"),'Normal uger'!$CE$51,0)</f>
        <v>0</v>
      </c>
      <c r="DE45" s="1">
        <f t="shared" si="23"/>
        <v>0</v>
      </c>
      <c r="DF45" t="str">
        <f t="shared" si="9"/>
        <v/>
      </c>
      <c r="DG45">
        <f t="shared" si="10"/>
        <v>0</v>
      </c>
      <c r="DH45">
        <f t="shared" si="11"/>
        <v>0</v>
      </c>
      <c r="DI45" t="str">
        <f t="shared" si="12"/>
        <v/>
      </c>
      <c r="DJ45" t="str">
        <f t="shared" si="12"/>
        <v/>
      </c>
      <c r="DK45" t="str">
        <f t="shared" si="12"/>
        <v/>
      </c>
      <c r="DL45" t="str">
        <f t="shared" si="24"/>
        <v/>
      </c>
    </row>
    <row r="46" spans="1:116" ht="17" thickBot="1">
      <c r="A46" s="368" t="s">
        <v>127</v>
      </c>
      <c r="B46" s="369"/>
      <c r="C46" s="369"/>
      <c r="D46" s="369"/>
      <c r="E46" s="369"/>
      <c r="F46" s="369"/>
      <c r="G46" s="369"/>
      <c r="H46" s="369"/>
      <c r="I46" s="194"/>
      <c r="J46" s="194"/>
      <c r="K46" s="194">
        <f>SUM(K15:K45)</f>
        <v>0</v>
      </c>
      <c r="L46" s="194">
        <f t="shared" ref="L46" si="25">SUM(L15:L45)</f>
        <v>0</v>
      </c>
      <c r="M46" s="206">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1"/>
      <c r="O46" s="412">
        <f>SUM(O15:O45)</f>
        <v>0</v>
      </c>
      <c r="P46" s="249"/>
      <c r="Q46" s="250"/>
      <c r="R46" s="250"/>
      <c r="S46" s="250">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0">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1">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8">
        <f>W15+W16+W17+W18+W19+W20+W21+W22+W23+W24+W25+W26+W27+W28+W29+W30+W31+W32+W33+W34+W35+W36+W37+W38+W39+W40+W41+W42+W43+W44+W45</f>
        <v>0</v>
      </c>
      <c r="X46" s="129">
        <f t="shared" ref="X46:AC46" si="26">SUM(X15:X45)</f>
        <v>0</v>
      </c>
      <c r="Y46" s="129">
        <f t="shared" si="26"/>
        <v>0</v>
      </c>
      <c r="Z46" s="129">
        <f t="shared" si="26"/>
        <v>0</v>
      </c>
      <c r="AA46" s="129">
        <f t="shared" si="26"/>
        <v>0</v>
      </c>
      <c r="AB46" s="129">
        <f t="shared" si="26"/>
        <v>0</v>
      </c>
      <c r="AC46" s="129">
        <f t="shared" si="26"/>
        <v>0</v>
      </c>
      <c r="AD46">
        <f t="shared" ref="AD46:BM46" si="27">COUNTIF(AD15:AD45,"&gt;0")</f>
        <v>0</v>
      </c>
      <c r="AE46">
        <f t="shared" si="27"/>
        <v>0</v>
      </c>
      <c r="AF46">
        <f t="shared" si="27"/>
        <v>0</v>
      </c>
      <c r="AG46">
        <f t="shared" si="27"/>
        <v>0</v>
      </c>
      <c r="AH46">
        <f t="shared" si="27"/>
        <v>0</v>
      </c>
      <c r="AI46">
        <f t="shared" si="27"/>
        <v>0</v>
      </c>
      <c r="AJ46">
        <f t="shared" si="27"/>
        <v>0</v>
      </c>
      <c r="AK46">
        <f t="shared" si="27"/>
        <v>0</v>
      </c>
      <c r="AL46">
        <f t="shared" si="27"/>
        <v>0</v>
      </c>
      <c r="AM46">
        <f t="shared" si="27"/>
        <v>0</v>
      </c>
      <c r="AN46">
        <f t="shared" si="27"/>
        <v>0</v>
      </c>
      <c r="AO46">
        <f t="shared" si="27"/>
        <v>0</v>
      </c>
      <c r="AP46">
        <f t="shared" si="27"/>
        <v>0</v>
      </c>
      <c r="AQ46">
        <f t="shared" si="27"/>
        <v>0</v>
      </c>
      <c r="AR46">
        <f t="shared" si="27"/>
        <v>0</v>
      </c>
      <c r="AS46">
        <f t="shared" si="27"/>
        <v>0</v>
      </c>
      <c r="AT46">
        <f t="shared" si="27"/>
        <v>0</v>
      </c>
      <c r="AU46">
        <f t="shared" si="27"/>
        <v>0</v>
      </c>
      <c r="AV46">
        <f t="shared" si="27"/>
        <v>0</v>
      </c>
      <c r="AW46">
        <f t="shared" si="27"/>
        <v>0</v>
      </c>
      <c r="AX46">
        <f t="shared" si="27"/>
        <v>0</v>
      </c>
      <c r="AY46">
        <f t="shared" si="27"/>
        <v>0</v>
      </c>
      <c r="AZ46">
        <f t="shared" si="27"/>
        <v>0</v>
      </c>
      <c r="BA46">
        <f t="shared" si="27"/>
        <v>0</v>
      </c>
      <c r="BB46">
        <f t="shared" si="27"/>
        <v>0</v>
      </c>
      <c r="BC46">
        <f t="shared" si="27"/>
        <v>0</v>
      </c>
      <c r="BD46">
        <f t="shared" si="27"/>
        <v>0</v>
      </c>
      <c r="BE46">
        <f t="shared" si="27"/>
        <v>0</v>
      </c>
      <c r="BF46">
        <f t="shared" si="27"/>
        <v>0</v>
      </c>
      <c r="BG46">
        <f t="shared" si="27"/>
        <v>0</v>
      </c>
      <c r="BH46">
        <f t="shared" si="27"/>
        <v>0</v>
      </c>
      <c r="BI46">
        <f t="shared" si="27"/>
        <v>0</v>
      </c>
      <c r="BJ46">
        <f t="shared" si="27"/>
        <v>0</v>
      </c>
      <c r="BK46">
        <f t="shared" si="27"/>
        <v>0</v>
      </c>
      <c r="BL46">
        <f t="shared" si="27"/>
        <v>0</v>
      </c>
      <c r="BM46">
        <f t="shared" si="27"/>
        <v>0</v>
      </c>
      <c r="BN46" s="1">
        <f>SUM(BN15:BN45)</f>
        <v>0</v>
      </c>
      <c r="BO46" s="62"/>
      <c r="BP46" s="129">
        <f t="shared" ref="BP46:BT46" si="28">SUM(BP15:BP45)</f>
        <v>0</v>
      </c>
      <c r="BQ46" s="129">
        <f t="shared" si="28"/>
        <v>0</v>
      </c>
      <c r="BR46" s="129">
        <f t="shared" si="28"/>
        <v>0</v>
      </c>
      <c r="BS46" s="129">
        <f t="shared" si="28"/>
        <v>0</v>
      </c>
      <c r="BT46" s="129">
        <f t="shared" si="28"/>
        <v>0</v>
      </c>
      <c r="BU46" s="129"/>
      <c r="BV46" s="129"/>
      <c r="BW46" s="129"/>
      <c r="BX46" s="129"/>
      <c r="BY46" s="129"/>
      <c r="BZ46" s="129"/>
      <c r="CA46">
        <f>COUNTIF(CA15:CA45,"&gt;0")</f>
        <v>0</v>
      </c>
      <c r="CB46">
        <f t="shared" ref="CB46:DD46" si="29">COUNTIF(CB15:CB45,"&gt;0")</f>
        <v>0</v>
      </c>
      <c r="CC46">
        <f t="shared" si="29"/>
        <v>0</v>
      </c>
      <c r="CD46">
        <f t="shared" si="29"/>
        <v>0</v>
      </c>
      <c r="CE46">
        <f t="shared" si="29"/>
        <v>0</v>
      </c>
      <c r="CF46">
        <f t="shared" si="29"/>
        <v>0</v>
      </c>
      <c r="CG46">
        <f t="shared" si="29"/>
        <v>0</v>
      </c>
      <c r="CH46">
        <f t="shared" si="29"/>
        <v>0</v>
      </c>
      <c r="CI46">
        <f t="shared" si="29"/>
        <v>0</v>
      </c>
      <c r="CJ46">
        <f t="shared" si="29"/>
        <v>0</v>
      </c>
      <c r="CK46">
        <f t="shared" si="29"/>
        <v>0</v>
      </c>
      <c r="CL46">
        <f t="shared" si="29"/>
        <v>0</v>
      </c>
      <c r="CM46">
        <f t="shared" si="29"/>
        <v>0</v>
      </c>
      <c r="CN46">
        <f t="shared" si="29"/>
        <v>0</v>
      </c>
      <c r="CO46">
        <f t="shared" si="29"/>
        <v>0</v>
      </c>
      <c r="CP46">
        <f t="shared" si="29"/>
        <v>0</v>
      </c>
      <c r="CQ46">
        <f t="shared" si="29"/>
        <v>0</v>
      </c>
      <c r="CR46">
        <f t="shared" si="29"/>
        <v>0</v>
      </c>
      <c r="CS46">
        <f t="shared" si="29"/>
        <v>0</v>
      </c>
      <c r="CT46">
        <f t="shared" si="29"/>
        <v>0</v>
      </c>
      <c r="CU46">
        <f t="shared" si="29"/>
        <v>0</v>
      </c>
      <c r="CV46">
        <f t="shared" si="29"/>
        <v>0</v>
      </c>
      <c r="CW46">
        <f t="shared" si="29"/>
        <v>0</v>
      </c>
      <c r="CX46">
        <f t="shared" si="29"/>
        <v>0</v>
      </c>
      <c r="CY46">
        <f t="shared" si="29"/>
        <v>0</v>
      </c>
      <c r="CZ46">
        <f t="shared" si="29"/>
        <v>0</v>
      </c>
      <c r="DA46">
        <f t="shared" si="29"/>
        <v>0</v>
      </c>
      <c r="DB46">
        <f t="shared" si="29"/>
        <v>0</v>
      </c>
      <c r="DC46">
        <f t="shared" si="29"/>
        <v>0</v>
      </c>
      <c r="DD46">
        <f t="shared" si="29"/>
        <v>0</v>
      </c>
      <c r="DJ46" t="str">
        <f t="shared" si="12"/>
        <v/>
      </c>
      <c r="DK46" t="str">
        <f t="shared" si="12"/>
        <v/>
      </c>
      <c r="DL46" t="str">
        <f t="shared" ref="DL46" si="30">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7"/>
      <c r="AA47" s="137"/>
      <c r="AB47" s="115"/>
      <c r="AC47" s="129"/>
      <c r="AD47" s="115"/>
      <c r="AE47" s="115"/>
      <c r="AF47" s="129"/>
      <c r="AG47" s="129"/>
      <c r="AH47" s="129"/>
      <c r="AI47" s="129"/>
      <c r="AJ47" s="34"/>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R47" s="257"/>
      <c r="BS47" s="137"/>
      <c r="BT47" s="137"/>
      <c r="BU47" s="129"/>
      <c r="BV47" s="115"/>
      <c r="BW47" s="129"/>
      <c r="BX47" s="129"/>
      <c r="BY47" s="129"/>
      <c r="BZ47" s="129"/>
      <c r="CA47" s="34">
        <f>IF(OR(CA15&gt;0.1,AJ15&gt;0),1,0)+IF(OR(CA16&gt;0.1,AJ16&gt;0),1,0)+IF(OR(CA17&gt;0,AJ17&gt;0),1,0)+IF(OR(CA18&gt;0,AJ18&gt;0),1,0)+IF(OR(CA19&gt;0,AJ19&gt;0),1,0)+IF(OR(CA20&gt;0,AJ20&gt;0),1,0)+IF(OR(CA21&gt;0,AJ21&gt;0),1,0)+IF(OR(CA22&gt;0,AJ22&gt;0),1,0)+IF(OR(CA23&gt;0,AJ23&gt;0),1,0)+IF(OR(CA24&gt;0,AJ24&gt;0),1,0)+IF(OR(CA25&gt;0,AJ25&gt;0),1,0)+IF(OR(CA26&gt;0,AJ26&gt;0),1,0)+IF(OR(CA27&gt;0,AJ27&gt;0),1,0)+IF(OR(CA28&gt;0,AJ28&gt;0),1,0)+IF(OR(CA29&gt;0,AJ29&gt;0),1,0)+IF(OR(CA30&gt;0,AJ30&gt;0),1,0)+IF(OR(CA31&gt;0,AJ31&gt;0),1,0)+IF(OR(CA32&gt;0,AJ32&gt;0),1,0)+IF(OR(CA33&gt;0,AJ33&gt;0),1,0)+IF(OR(CA34&gt;0,AJ34&gt;0),1,0)+IF(OR(CA35&gt;0,AJ35&gt;0),1,0)+IF(OR(CA36&gt;0,AJ36&gt;0),1,0)+IF(OR(CA37&gt;0,AJ37&gt;0),1,0)+IF(OR(CA38&gt;0,AJ38&gt;0),1,0)+IF(OR(CA39&gt;0,AJ39&gt;0),1,0)+IF(OR(CA40&gt;0,AJ40&gt;0),1,0)+IF(OR(CA41&gt;0,AJ41&gt;0),1,0)+IF(OR(CA42&gt;0,AJ42&gt;0),1,0)+IF(OR(CA43&gt;0,AJ43&gt;0),1,0)+IF(OR(CA44&gt;0,AJ44&gt;0),1,0)+IF(OR(CA45&gt;0,AJ45&gt;0),1,0)</f>
        <v>0</v>
      </c>
      <c r="CB47" s="34">
        <f t="shared" ref="CB47:DD47" si="31">IF(OR(CB15&gt;0.1,AK15&gt;0),1,0)+IF(OR(CB16&gt;0.1,AK16&gt;0),1,0)+IF(OR(CB17&gt;0,AK17&gt;0),1,0)+IF(OR(CB18&gt;0,AK18&gt;0),1,0)+IF(OR(CB19&gt;0,AK19&gt;0),1,0)+IF(OR(CB20&gt;0,AK20&gt;0),1,0)+IF(OR(CB21&gt;0,AK21&gt;0),1,0)+IF(OR(CB22&gt;0,AK22&gt;0),1,0)+IF(OR(CB23&gt;0,AK23&gt;0),1,0)+IF(OR(CB24&gt;0,AK24&gt;0),1,0)+IF(OR(CB25&gt;0,AK25&gt;0),1,0)+IF(OR(CB26&gt;0,AK26&gt;0),1,0)+IF(OR(CB27&gt;0,AK27&gt;0),1,0)+IF(OR(CB28&gt;0,AK28&gt;0),1,0)+IF(OR(CB29&gt;0,AK29&gt;0),1,0)+IF(OR(CB30&gt;0,AK30&gt;0),1,0)+IF(OR(CB31&gt;0,AK31&gt;0),1,0)+IF(OR(CB32&gt;0,AK32&gt;0),1,0)+IF(OR(CB33&gt;0,AK33&gt;0),1,0)+IF(OR(CB34&gt;0,AK34&gt;0),1,0)+IF(OR(CB35&gt;0,AK35&gt;0),1,0)+IF(OR(CB36&gt;0,AK36&gt;0),1,0)+IF(OR(CB37&gt;0,AK37&gt;0),1,0)+IF(OR(CB38&gt;0,AK38&gt;0),1,0)+IF(OR(CB39&gt;0,AK39&gt;0),1,0)+IF(OR(CB40&gt;0,AK40&gt;0),1,0)+IF(OR(CB41&gt;0,AK41&gt;0),1,0)+IF(OR(CB42&gt;0,AK42&gt;0),1,0)+IF(OR(CB43&gt;0,AK43&gt;0),1,0)+IF(OR(CB44&gt;0,AK44&gt;0),1,0)+IF(OR(CB45&gt;0,AK45&gt;0),1,0)</f>
        <v>0</v>
      </c>
      <c r="CC47" s="34">
        <f t="shared" si="31"/>
        <v>0</v>
      </c>
      <c r="CD47" s="34">
        <f t="shared" si="31"/>
        <v>0</v>
      </c>
      <c r="CE47" s="34">
        <f t="shared" si="31"/>
        <v>0</v>
      </c>
      <c r="CF47" s="34">
        <f t="shared" si="31"/>
        <v>0</v>
      </c>
      <c r="CG47" s="34">
        <f t="shared" si="31"/>
        <v>0</v>
      </c>
      <c r="CH47" s="34">
        <f t="shared" si="31"/>
        <v>0</v>
      </c>
      <c r="CI47" s="34">
        <f t="shared" si="31"/>
        <v>0</v>
      </c>
      <c r="CJ47" s="34">
        <f t="shared" si="31"/>
        <v>0</v>
      </c>
      <c r="CK47" s="34">
        <f t="shared" si="31"/>
        <v>0</v>
      </c>
      <c r="CL47" s="34">
        <f t="shared" si="31"/>
        <v>0</v>
      </c>
      <c r="CM47" s="34">
        <f t="shared" si="31"/>
        <v>0</v>
      </c>
      <c r="CN47" s="34">
        <f t="shared" si="31"/>
        <v>0</v>
      </c>
      <c r="CO47" s="34">
        <f t="shared" si="31"/>
        <v>0</v>
      </c>
      <c r="CP47" s="34">
        <f t="shared" si="31"/>
        <v>0</v>
      </c>
      <c r="CQ47" s="34">
        <f t="shared" si="31"/>
        <v>0</v>
      </c>
      <c r="CR47" s="34">
        <f t="shared" si="31"/>
        <v>0</v>
      </c>
      <c r="CS47" s="34">
        <f t="shared" si="31"/>
        <v>0</v>
      </c>
      <c r="CT47" s="34">
        <f t="shared" si="31"/>
        <v>0</v>
      </c>
      <c r="CU47" s="34">
        <f t="shared" si="31"/>
        <v>0</v>
      </c>
      <c r="CV47" s="34">
        <f t="shared" si="31"/>
        <v>0</v>
      </c>
      <c r="CW47" s="34">
        <f t="shared" si="31"/>
        <v>0</v>
      </c>
      <c r="CX47" s="34">
        <f t="shared" si="31"/>
        <v>0</v>
      </c>
      <c r="CY47" s="34">
        <f t="shared" si="31"/>
        <v>0</v>
      </c>
      <c r="CZ47" s="34">
        <f t="shared" si="31"/>
        <v>0</v>
      </c>
      <c r="DA47" s="34">
        <f t="shared" si="31"/>
        <v>0</v>
      </c>
      <c r="DB47" s="34">
        <f t="shared" si="31"/>
        <v>0</v>
      </c>
      <c r="DC47" s="34">
        <f t="shared" si="31"/>
        <v>0</v>
      </c>
      <c r="DD47" s="34">
        <f t="shared" si="31"/>
        <v>0</v>
      </c>
    </row>
    <row r="48" spans="1:116" ht="70" customHeight="1">
      <c r="A48" s="873" t="str">
        <f>"Arbejdstid for "&amp;A13&amp;" måned:"</f>
        <v>Arbejdstid for Juli måned:</v>
      </c>
      <c r="B48" s="874"/>
      <c r="C48" s="874"/>
      <c r="D48" s="874"/>
      <c r="E48" s="874"/>
      <c r="F48" s="874"/>
      <c r="G48" s="874"/>
      <c r="H48" s="201" t="s">
        <v>126</v>
      </c>
      <c r="I48" s="923" t="s">
        <v>115</v>
      </c>
      <c r="J48" s="924"/>
      <c r="K48" s="150"/>
      <c r="L48" s="966" t="s">
        <v>187</v>
      </c>
      <c r="M48" s="967"/>
      <c r="N48" s="967"/>
      <c r="O48" s="967"/>
      <c r="P48" s="967"/>
      <c r="Q48" s="967"/>
      <c r="R48" s="967"/>
      <c r="S48" s="968"/>
      <c r="T48" s="598" t="s">
        <v>361</v>
      </c>
      <c r="U48" s="373" t="s">
        <v>257</v>
      </c>
      <c r="V48" s="303"/>
      <c r="W48" s="117"/>
      <c r="X48" s="130"/>
      <c r="Y48" s="130"/>
      <c r="Z48" s="130"/>
      <c r="AA48"/>
      <c r="AB48"/>
      <c r="AK48" s="56"/>
      <c r="AL48" s="56"/>
      <c r="BO48" s="117"/>
      <c r="BP48" s="117"/>
      <c r="BQ48" s="130"/>
      <c r="BR48" s="130"/>
      <c r="BS48"/>
      <c r="BT48"/>
      <c r="CB48" s="56"/>
      <c r="CC48" s="56"/>
    </row>
    <row r="49" spans="1:114" ht="24" customHeight="1">
      <c r="A49" s="875" t="s">
        <v>270</v>
      </c>
      <c r="B49" s="876"/>
      <c r="C49" s="876"/>
      <c r="D49" s="876"/>
      <c r="E49" s="876"/>
      <c r="F49" s="876"/>
      <c r="G49" s="876"/>
      <c r="H49" s="145">
        <f>D83-D81-A93-D80</f>
        <v>23</v>
      </c>
      <c r="I49" s="852">
        <f>J65</f>
        <v>0</v>
      </c>
      <c r="J49" s="853"/>
      <c r="K49" s="147"/>
      <c r="L49" s="970"/>
      <c r="M49" s="971"/>
      <c r="N49" s="971"/>
      <c r="O49" s="971"/>
      <c r="P49" s="971"/>
      <c r="Q49" s="971"/>
      <c r="R49" s="971"/>
      <c r="S49" s="971"/>
      <c r="T49" s="392">
        <f>Juni!T56</f>
        <v>0</v>
      </c>
      <c r="U49" s="393">
        <f>Juni!U56</f>
        <v>0</v>
      </c>
      <c r="V49" s="303"/>
      <c r="W49" s="130"/>
      <c r="X49" s="130"/>
      <c r="Y49" s="130"/>
      <c r="Z49" s="130"/>
      <c r="AA49"/>
      <c r="AB49"/>
      <c r="AK49" s="56"/>
      <c r="AL49" s="56"/>
      <c r="BO49" s="130"/>
      <c r="BP49" s="130"/>
      <c r="BQ49" s="130"/>
      <c r="BR49" s="130"/>
      <c r="BS49"/>
      <c r="BT49"/>
      <c r="CB49" s="56"/>
      <c r="CC49" s="56"/>
    </row>
    <row r="50" spans="1:114" ht="24" customHeight="1">
      <c r="A50" s="875" t="str">
        <f>"Ferie "&amp;A13&amp;" måned"</f>
        <v>Ferie Juli måned</v>
      </c>
      <c r="B50" s="876"/>
      <c r="C50" s="876"/>
      <c r="D50" s="876"/>
      <c r="E50" s="876"/>
      <c r="F50" s="876"/>
      <c r="G50" s="876"/>
      <c r="H50" s="146" t="str">
        <f>IF(D77&gt;0,$D$77,"0")</f>
        <v>0</v>
      </c>
      <c r="I50" s="961">
        <f>H50*7.4*Stamoplysninger!E21</f>
        <v>0</v>
      </c>
      <c r="J50" s="962"/>
      <c r="K50" s="147"/>
      <c r="L50" s="388" t="s">
        <v>190</v>
      </c>
      <c r="M50" s="389"/>
      <c r="N50" s="389"/>
      <c r="O50" s="389"/>
      <c r="P50" s="389"/>
      <c r="Q50" s="389"/>
      <c r="R50" s="389"/>
      <c r="S50" s="389"/>
      <c r="T50" s="592"/>
      <c r="U50" s="356"/>
      <c r="V50" s="303"/>
      <c r="W50" s="130"/>
      <c r="X50" s="130"/>
      <c r="Y50" s="130"/>
      <c r="Z50" s="130"/>
      <c r="AA50"/>
      <c r="AB50"/>
      <c r="AK50" s="56"/>
      <c r="AL50" s="56"/>
      <c r="BO50" s="130"/>
      <c r="BP50" s="130"/>
      <c r="BQ50" s="130"/>
      <c r="BR50" s="130"/>
      <c r="BS50"/>
      <c r="BT50"/>
      <c r="CB50" s="56"/>
      <c r="CC50" s="56"/>
    </row>
    <row r="51" spans="1:114" ht="24" customHeight="1">
      <c r="A51" s="875" t="str">
        <f>"Søgnehelligdage i "&amp;A13&amp;" måned"</f>
        <v>Søgnehelligdage i Juli måned</v>
      </c>
      <c r="B51" s="876"/>
      <c r="C51" s="876"/>
      <c r="D51" s="876"/>
      <c r="E51" s="876"/>
      <c r="F51" s="876"/>
      <c r="G51" s="876"/>
      <c r="H51" s="146">
        <f>IF(D82&gt;0,D82,0)</f>
        <v>0</v>
      </c>
      <c r="I51" s="961">
        <f>H51*7.4*Stamoplysninger!E21</f>
        <v>0</v>
      </c>
      <c r="J51" s="962"/>
      <c r="K51" s="225"/>
      <c r="L51" s="948" t="s">
        <v>363</v>
      </c>
      <c r="M51" s="949"/>
      <c r="N51" s="949"/>
      <c r="O51" s="949"/>
      <c r="P51" s="949"/>
      <c r="Q51" s="949"/>
      <c r="R51" s="949"/>
      <c r="S51" s="949"/>
      <c r="T51" s="949"/>
      <c r="U51" s="950"/>
      <c r="V51" s="303"/>
      <c r="W51" s="130"/>
      <c r="X51" s="130"/>
      <c r="Y51" s="130"/>
      <c r="Z51" s="130"/>
      <c r="AA51"/>
      <c r="AB51"/>
      <c r="AK51" s="56"/>
      <c r="AL51" s="56"/>
      <c r="BO51" s="130"/>
      <c r="BP51" s="130"/>
      <c r="BQ51" s="130"/>
      <c r="BR51" s="130"/>
      <c r="BS51"/>
      <c r="BT51"/>
      <c r="CB51" s="56"/>
      <c r="CC51" s="56"/>
    </row>
    <row r="52" spans="1:114" ht="24" customHeight="1">
      <c r="A52" s="875" t="str">
        <f>"Nettoarbejdstid ialt i "&amp;A13&amp;" måned"</f>
        <v>Nettoarbejdstid ialt i Juli måned</v>
      </c>
      <c r="B52" s="876"/>
      <c r="C52" s="876"/>
      <c r="D52" s="876"/>
      <c r="E52" s="876"/>
      <c r="F52" s="876"/>
      <c r="G52" s="876"/>
      <c r="H52" s="148">
        <f>H49-H50-H51</f>
        <v>23</v>
      </c>
      <c r="I52" s="961">
        <f>IF(Stamoplysninger!$E$18="Ikke omfattet af overenskomst - ansat med en fast årsnorm",Stamoplysninger!$E$20/228*H52*Stamoplysninger!$E$21,I49-I50-I51)</f>
        <v>0</v>
      </c>
      <c r="J52" s="962"/>
      <c r="K52" s="225"/>
      <c r="L52" s="375" t="s">
        <v>362</v>
      </c>
      <c r="M52" s="376" t="s">
        <v>201</v>
      </c>
      <c r="N52" s="954" t="s">
        <v>277</v>
      </c>
      <c r="O52" s="949"/>
      <c r="P52" s="949"/>
      <c r="Q52" s="949"/>
      <c r="R52" s="949"/>
      <c r="S52" s="955"/>
      <c r="T52" s="921" t="s">
        <v>188</v>
      </c>
      <c r="U52" s="922"/>
      <c r="V52" s="303"/>
      <c r="W52" s="130"/>
      <c r="X52" s="130"/>
      <c r="Y52" s="130"/>
      <c r="Z52" s="130"/>
      <c r="AA52"/>
      <c r="AB52"/>
      <c r="AK52" s="56"/>
      <c r="AL52" s="56"/>
      <c r="BO52" s="130"/>
      <c r="BP52" s="130"/>
      <c r="BQ52" s="130"/>
      <c r="BR52" s="130"/>
      <c r="BS52"/>
      <c r="BT52"/>
      <c r="CB52" s="56"/>
      <c r="CC52" s="56"/>
    </row>
    <row r="53" spans="1:114" ht="24" customHeight="1">
      <c r="A53" s="881" t="str">
        <f>"Planlagt arbejdstid efter ovennstående "&amp;A13&amp;" måned kalender"</f>
        <v>Planlagt arbejdstid efter ovennstående Juli måned kalender</v>
      </c>
      <c r="B53" s="882"/>
      <c r="C53" s="882"/>
      <c r="D53" s="882"/>
      <c r="E53" s="882"/>
      <c r="F53" s="882"/>
      <c r="G53" s="882"/>
      <c r="H53" s="281">
        <f>D60+D61+D62+D63+D66+D67+D74+D68+D69+D70+D71+D72+D73+D75+D76+D64+D65</f>
        <v>23</v>
      </c>
      <c r="I53" s="940">
        <f>K46+L46+M46-J60</f>
        <v>0</v>
      </c>
      <c r="J53" s="941"/>
      <c r="K53" s="225"/>
      <c r="L53" s="372"/>
      <c r="M53" s="304"/>
      <c r="N53" s="956"/>
      <c r="O53" s="957"/>
      <c r="P53" s="957"/>
      <c r="Q53" s="957"/>
      <c r="R53" s="957"/>
      <c r="S53" s="958"/>
      <c r="T53" s="304"/>
      <c r="U53" s="371"/>
      <c r="V53" s="303"/>
      <c r="W53" s="130"/>
      <c r="X53" s="130"/>
      <c r="Y53" s="130"/>
      <c r="Z53" s="130"/>
      <c r="AA53"/>
      <c r="AB53"/>
      <c r="AK53" s="56"/>
      <c r="AL53" s="56"/>
      <c r="BO53" s="130"/>
      <c r="BP53" s="130"/>
      <c r="BQ53" s="130"/>
      <c r="BR53" s="130"/>
      <c r="BS53"/>
      <c r="BT53"/>
      <c r="CB53" s="56"/>
      <c r="CC53" s="56"/>
    </row>
    <row r="54" spans="1:114" ht="24" customHeight="1">
      <c r="A54" s="883" t="str">
        <f>"Arbejde særligt planlagt for "&amp;A13&amp;" måned efter fanen normale uger"</f>
        <v>Arbejde særligt planlagt for Juli måned efter fanen normale uger</v>
      </c>
      <c r="B54" s="884"/>
      <c r="C54" s="884"/>
      <c r="D54" s="884"/>
      <c r="E54" s="884"/>
      <c r="F54" s="884"/>
      <c r="G54" s="884"/>
      <c r="H54" s="885"/>
      <c r="I54" s="942">
        <f>IF(I53=0,0,'Normal uger'!W98)</f>
        <v>0</v>
      </c>
      <c r="J54" s="943"/>
      <c r="K54" s="226"/>
      <c r="L54" s="372"/>
      <c r="M54" s="304"/>
      <c r="N54" s="956"/>
      <c r="O54" s="957"/>
      <c r="P54" s="957"/>
      <c r="Q54" s="957"/>
      <c r="R54" s="957"/>
      <c r="S54" s="958"/>
      <c r="T54" s="304"/>
      <c r="U54" s="371"/>
      <c r="V54" s="303"/>
      <c r="W54" s="130"/>
      <c r="X54" s="130"/>
      <c r="Y54" s="130"/>
      <c r="Z54" s="130"/>
      <c r="AA54"/>
      <c r="AB54"/>
      <c r="AK54" s="56"/>
      <c r="AL54" s="56"/>
      <c r="BO54" s="130"/>
      <c r="BP54" s="130"/>
      <c r="BQ54" s="130"/>
      <c r="BR54" s="130"/>
      <c r="BS54"/>
      <c r="BT54"/>
      <c r="CB54" s="56"/>
      <c r="CC54" s="56"/>
    </row>
    <row r="55" spans="1:114" ht="24" customHeight="1">
      <c r="A55" s="413" t="s">
        <v>273</v>
      </c>
      <c r="B55" s="414"/>
      <c r="C55" s="414"/>
      <c r="D55" s="414"/>
      <c r="E55" s="414"/>
      <c r="F55" s="414"/>
      <c r="G55" s="414"/>
      <c r="H55" s="415"/>
      <c r="I55" s="959" t="e">
        <f>IF(Arbejdstidsoversigt!$H$54="Puljetimer registreres i månedskalendere",O46-L60,SUM(Arbejdstidsoversigt!J34:J52)/Arbejdstidsoversigt!$G$20*H52)</f>
        <v>#DIV/0!</v>
      </c>
      <c r="J55" s="960"/>
      <c r="K55" s="226"/>
      <c r="L55" s="372"/>
      <c r="M55" s="304"/>
      <c r="N55" s="956"/>
      <c r="O55" s="957"/>
      <c r="P55" s="957"/>
      <c r="Q55" s="957"/>
      <c r="R55" s="957"/>
      <c r="S55" s="958"/>
      <c r="T55" s="353"/>
      <c r="U55" s="371"/>
      <c r="V55" s="406"/>
      <c r="W55" s="406"/>
      <c r="X55" s="303"/>
      <c r="Y55" s="130"/>
      <c r="Z55" s="130"/>
      <c r="AA55" s="130"/>
      <c r="AB55" s="130"/>
      <c r="AM55" s="56"/>
      <c r="AN55" s="56"/>
      <c r="BQ55" s="130"/>
      <c r="BR55" s="130"/>
      <c r="BS55" s="130"/>
      <c r="BT55" s="130"/>
      <c r="CD55" s="56"/>
      <c r="CE55" s="56"/>
    </row>
    <row r="56" spans="1:114" ht="24" customHeight="1">
      <c r="A56" s="877" t="s">
        <v>248</v>
      </c>
      <c r="B56" s="878"/>
      <c r="C56" s="878"/>
      <c r="D56" s="878"/>
      <c r="E56" s="878"/>
      <c r="F56" s="878"/>
      <c r="G56" s="878"/>
      <c r="H56" s="878"/>
      <c r="I56" s="944">
        <f>S46+U46+T46-P60-Q60-R60</f>
        <v>0</v>
      </c>
      <c r="J56" s="945"/>
      <c r="K56" s="227"/>
      <c r="L56" s="372"/>
      <c r="M56" s="304"/>
      <c r="N56" s="956"/>
      <c r="O56" s="957"/>
      <c r="P56" s="957"/>
      <c r="Q56" s="957"/>
      <c r="R56" s="957"/>
      <c r="S56" s="958"/>
      <c r="T56" s="304"/>
      <c r="U56" s="371"/>
      <c r="V56" s="303"/>
      <c r="W56" s="137"/>
      <c r="X56" s="130"/>
      <c r="Z56" s="130"/>
      <c r="AA56" s="130"/>
      <c r="AB56"/>
      <c r="AM56" s="56"/>
      <c r="AN56" s="56"/>
      <c r="BO56" s="137"/>
      <c r="BP56" s="137"/>
      <c r="BR56" s="130"/>
      <c r="BS56"/>
      <c r="BT56"/>
      <c r="CD56" s="56"/>
      <c r="CE56" s="56"/>
    </row>
    <row r="57" spans="1:114" ht="24" customHeight="1" thickBot="1">
      <c r="A57" s="149" t="str">
        <f>"Faktisk arbejdstid ialt i "&amp;A13&amp;" måned"</f>
        <v>Faktisk arbejdstid ialt i Juli måned</v>
      </c>
      <c r="B57" s="188"/>
      <c r="C57" s="189"/>
      <c r="D57" s="189"/>
      <c r="E57" s="189"/>
      <c r="F57" s="189"/>
      <c r="G57" s="189"/>
      <c r="H57" s="190"/>
      <c r="I57" s="946" t="e">
        <f>I53+I56+I54+I55</f>
        <v>#DIV/0!</v>
      </c>
      <c r="J57" s="947"/>
      <c r="K57" s="131"/>
      <c r="L57" s="951" t="s">
        <v>189</v>
      </c>
      <c r="M57" s="952"/>
      <c r="N57" s="952"/>
      <c r="O57" s="952"/>
      <c r="P57" s="952"/>
      <c r="Q57" s="952"/>
      <c r="R57" s="952"/>
      <c r="S57" s="953"/>
      <c r="T57" s="387">
        <f>T49+T50-SUM(T53:T56)</f>
        <v>0</v>
      </c>
      <c r="U57" s="394">
        <f>U49+U50-SUM(U53:U56)</f>
        <v>0</v>
      </c>
      <c r="V57" s="303"/>
      <c r="W57" s="137"/>
      <c r="X57" s="130"/>
      <c r="Z57" s="130"/>
      <c r="AA57" s="130"/>
      <c r="AB57"/>
      <c r="AL57" s="56"/>
      <c r="AM57" s="56"/>
      <c r="BG57" s="56"/>
      <c r="BH57" s="56"/>
      <c r="BO57" s="137"/>
      <c r="BP57" s="137"/>
      <c r="BR57" s="130"/>
      <c r="BS57"/>
      <c r="BT57"/>
      <c r="CC57" s="56"/>
      <c r="CD57" s="56"/>
    </row>
    <row r="58" spans="1:114" hidden="1">
      <c r="A58" s="144"/>
      <c r="B58" s="144"/>
      <c r="C58" s="144"/>
      <c r="D58" s="144"/>
      <c r="E58" s="144"/>
      <c r="F58" s="144"/>
      <c r="G58" s="144"/>
      <c r="H58" s="144"/>
      <c r="I58" s="302"/>
      <c r="J58" s="302"/>
      <c r="K58" s="302"/>
      <c r="L58" s="290"/>
      <c r="M58" s="252"/>
      <c r="N58" s="252"/>
      <c r="O58" s="252"/>
      <c r="P58" s="252"/>
      <c r="Q58" s="252"/>
      <c r="R58" s="205"/>
      <c r="S58" s="253"/>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6"/>
      <c r="B59" s="286"/>
      <c r="C59" s="286"/>
      <c r="D59" s="286"/>
      <c r="E59" s="286"/>
      <c r="F59" s="286"/>
      <c r="G59" s="286"/>
      <c r="H59" s="287"/>
      <c r="I59" s="288"/>
      <c r="K59" s="286"/>
      <c r="L59" s="289"/>
      <c r="M59" s="279"/>
      <c r="N59" s="252"/>
      <c r="O59" s="252"/>
      <c r="P59" s="279"/>
      <c r="AA59" s="130"/>
      <c r="AB59" s="130"/>
      <c r="AC59" s="130"/>
      <c r="AD59" s="130"/>
      <c r="AE59" s="118"/>
      <c r="AF59" s="137"/>
      <c r="AG59" s="137"/>
      <c r="AH59" s="137"/>
      <c r="AI59" s="137"/>
      <c r="AJ59" s="137"/>
      <c r="AK59" s="137"/>
      <c r="AL59" s="137"/>
      <c r="AM59" s="137"/>
      <c r="AN59" s="137"/>
      <c r="AO59" s="137"/>
      <c r="AP59" s="130"/>
      <c r="AR59" s="130"/>
      <c r="AS59" s="130"/>
      <c r="AW59" s="56"/>
      <c r="AX59" s="56"/>
      <c r="BD59" s="130"/>
      <c r="BH59" s="56"/>
      <c r="BI59" s="56"/>
      <c r="BR59" s="303"/>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295" t="s">
        <v>217</v>
      </c>
      <c r="B60" s="295"/>
      <c r="C60" s="295"/>
      <c r="D60" s="295">
        <f>COUNTIF([0]!Juli1,"Normal uge 1")</f>
        <v>23</v>
      </c>
      <c r="E60" s="296"/>
      <c r="F60" s="295"/>
      <c r="G60" s="295"/>
      <c r="H60" s="288"/>
      <c r="I60" s="291" t="s">
        <v>360</v>
      </c>
      <c r="J60" s="289">
        <f>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relevant",M44,0)+IF(C45="Ikke relevant",M45,0)</f>
        <v>0</v>
      </c>
      <c r="K60" s="289" t="s">
        <v>271</v>
      </c>
      <c r="L60" s="289">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60" s="280"/>
      <c r="N60" s="279"/>
      <c r="O60" s="279"/>
      <c r="P60" s="289">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60" s="289">
        <f>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60" s="289">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69" t="s">
        <v>204</v>
      </c>
      <c r="B61" s="969"/>
      <c r="C61" s="969"/>
      <c r="D61" s="295">
        <f>COUNTIF([0]!Juli1,"Normal uge 2")</f>
        <v>0</v>
      </c>
      <c r="E61" s="296"/>
      <c r="F61" s="295"/>
      <c r="G61" s="295" t="s">
        <v>489</v>
      </c>
      <c r="H61" s="852">
        <f>IF(AND(Stamoplysninger!$E$18="BUPL/FOA",Stamoplysninger!$E$19="Ja"),1924/Arbejdstidsoversigt!$K$13*Stamoplysninger!$E$21*$H$49,H49*7.4*Stamoplysninger!$E$21)</f>
        <v>0</v>
      </c>
      <c r="I61" s="853"/>
      <c r="J61" s="289">
        <f>IF(Stamoplysninger!$E$18="BUPL/FOA",H61,0)</f>
        <v>0</v>
      </c>
      <c r="K61" s="291"/>
      <c r="L61" s="292"/>
      <c r="M61" s="280"/>
      <c r="N61" s="280"/>
      <c r="O61" s="280"/>
      <c r="P61" s="280"/>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69" t="s">
        <v>205</v>
      </c>
      <c r="B62" s="969"/>
      <c r="C62" s="969"/>
      <c r="D62" s="295">
        <f>COUNTIF([0]!Juli1,"Normal uge 3")</f>
        <v>0</v>
      </c>
      <c r="E62" s="296"/>
      <c r="F62" s="295"/>
      <c r="G62" s="295" t="s">
        <v>212</v>
      </c>
      <c r="H62" s="852">
        <f>IF(AND(Stamoplysninger!$E$18="HK",Stamoplysninger!$E$19="Ja"),1924/Arbejdstidsoversigt!$K$13*Stamoplysninger!$E$21*$H$49,$H$49*7.4*Stamoplysninger!$E$21)</f>
        <v>0</v>
      </c>
      <c r="I62" s="853"/>
      <c r="J62" s="289">
        <f>IF(Stamoplysninger!$E$18="HK",H62,0)</f>
        <v>0</v>
      </c>
      <c r="K62" s="291"/>
      <c r="L62" s="292"/>
      <c r="M62" s="280"/>
      <c r="N62" s="280"/>
      <c r="O62" s="280"/>
      <c r="P62" s="280"/>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69" t="s">
        <v>206</v>
      </c>
      <c r="B63" s="969"/>
      <c r="C63" s="969"/>
      <c r="D63" s="295">
        <f>COUNTIF([0]!Juli1,"Normal uge 4")</f>
        <v>0</v>
      </c>
      <c r="E63" s="296"/>
      <c r="F63" s="295"/>
      <c r="G63" s="295" t="s">
        <v>213</v>
      </c>
      <c r="H63" s="288">
        <f>IF(Stamoplysninger!$E$18="3F",7.4*Stamoplysninger!$E$21*$H$49,0)</f>
        <v>0</v>
      </c>
      <c r="I63" s="288"/>
      <c r="J63" s="289">
        <f>IF(Stamoplysninger!$E$18="3f",H63,0)</f>
        <v>0</v>
      </c>
      <c r="K63" s="291"/>
      <c r="L63" s="292"/>
      <c r="M63" s="280"/>
      <c r="N63" s="280"/>
      <c r="O63" s="280"/>
      <c r="P63" s="280"/>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50" t="s">
        <v>406</v>
      </c>
      <c r="B64" s="650"/>
      <c r="C64" s="650"/>
      <c r="D64" s="295">
        <f>COUNTIF([0]!Juli1,"Normal uge 5")</f>
        <v>0</v>
      </c>
      <c r="E64" s="296"/>
      <c r="F64" s="295"/>
      <c r="G64" s="295" t="s">
        <v>498</v>
      </c>
      <c r="H64" s="288">
        <f>IF(Stamoplysninger!$E$18="Ikke omfattet af overenskomst - ansat med en variabel årsnorm",7.4*Stamoplysninger!$E$21*$H$49,0)</f>
        <v>0</v>
      </c>
      <c r="I64" s="288"/>
      <c r="J64" s="289">
        <f>IF(Stamoplysninger!$E$18="Ikke omfattet af overenskomst - ansat med en variabel årsnorm",H64,0)</f>
        <v>0</v>
      </c>
      <c r="K64" s="291"/>
      <c r="L64" s="292"/>
      <c r="M64" s="280"/>
      <c r="N64" s="280"/>
      <c r="O64" s="280"/>
      <c r="P64" s="280"/>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52" t="s">
        <v>407</v>
      </c>
      <c r="B65" s="652"/>
      <c r="C65" s="652"/>
      <c r="D65" s="295">
        <f>COUNTIF([0]!Juli1,"Normal uge 6")</f>
        <v>0</v>
      </c>
      <c r="E65" s="296"/>
      <c r="F65" s="295"/>
      <c r="G65" s="295"/>
      <c r="H65" s="288"/>
      <c r="I65" s="288"/>
      <c r="J65" s="289">
        <f>SUM(J60:J64)</f>
        <v>0</v>
      </c>
      <c r="K65" s="291"/>
      <c r="L65" s="292"/>
      <c r="M65" s="280"/>
      <c r="N65" s="280"/>
      <c r="O65" s="280"/>
      <c r="P65" s="280"/>
      <c r="AA65" s="130"/>
      <c r="AB65" s="130"/>
      <c r="AC65" s="130"/>
      <c r="AD65" s="130"/>
      <c r="AE65" s="130"/>
      <c r="AF65" s="118"/>
      <c r="AG65" s="118"/>
      <c r="AH65" s="118"/>
      <c r="AI65" s="118"/>
      <c r="AJ65" s="118"/>
      <c r="AK65" s="118"/>
      <c r="AL65" s="118"/>
      <c r="AM65" s="137"/>
      <c r="AN65" s="137"/>
      <c r="AO65" s="137"/>
      <c r="AP65" s="137"/>
      <c r="AQ65" s="130"/>
      <c r="AS65" s="130"/>
      <c r="AT65" s="130"/>
      <c r="AX65" s="56"/>
      <c r="AY65" s="56"/>
      <c r="BG65" s="1"/>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295" t="s">
        <v>228</v>
      </c>
      <c r="B66" s="295"/>
      <c r="C66" s="295"/>
      <c r="D66" s="295">
        <f>COUNTIF([0]!Juli1,"Anderledes dag")</f>
        <v>0</v>
      </c>
      <c r="E66" s="296"/>
      <c r="F66" s="295"/>
      <c r="G66" s="295"/>
      <c r="H66" s="288"/>
      <c r="I66" s="292"/>
      <c r="J66" s="289"/>
      <c r="K66" s="291"/>
      <c r="L66" s="292"/>
      <c r="M66" s="280"/>
      <c r="N66" s="280"/>
      <c r="O66" s="280"/>
      <c r="P66" s="280"/>
      <c r="AA66"/>
      <c r="AB66"/>
      <c r="AW66" s="1"/>
      <c r="BG66" s="1"/>
      <c r="BR66" s="63"/>
      <c r="BS66"/>
      <c r="BT66"/>
      <c r="CN66" s="1"/>
      <c r="CX66" s="1"/>
      <c r="DG66" s="138"/>
    </row>
    <row r="67" spans="1:114" hidden="1">
      <c r="A67" s="297" t="s">
        <v>370</v>
      </c>
      <c r="B67" s="295"/>
      <c r="C67" s="295"/>
      <c r="D67" s="295">
        <f>COUNTIF([0]!Juli1,"Ferieåbning")</f>
        <v>0</v>
      </c>
      <c r="E67" s="296"/>
      <c r="F67" s="295"/>
      <c r="G67" s="295"/>
      <c r="H67" s="288"/>
      <c r="I67" s="292"/>
      <c r="J67" s="292"/>
      <c r="K67" s="292"/>
      <c r="L67" s="292"/>
      <c r="M67" s="280"/>
      <c r="N67" s="280"/>
      <c r="O67" s="280"/>
      <c r="P67" s="280"/>
      <c r="AA67"/>
      <c r="AB67"/>
      <c r="AW67" s="1"/>
      <c r="BG67" s="1"/>
      <c r="BR67" s="63"/>
      <c r="BS67"/>
      <c r="BT67"/>
      <c r="CN67" s="1"/>
      <c r="CX67" s="1"/>
      <c r="DG67" s="138"/>
    </row>
    <row r="68" spans="1:114" hidden="1">
      <c r="A68" s="297" t="s">
        <v>218</v>
      </c>
      <c r="B68" s="295"/>
      <c r="C68" s="295"/>
      <c r="D68" s="295">
        <f>COUNTIF([0]!Juli1,"Rul 1")</f>
        <v>0</v>
      </c>
      <c r="E68" s="296"/>
      <c r="F68" s="295"/>
      <c r="G68" s="295"/>
      <c r="H68" s="288"/>
      <c r="I68" s="292"/>
      <c r="J68" s="292"/>
      <c r="K68" s="292"/>
      <c r="L68" s="292"/>
      <c r="M68" s="252"/>
      <c r="N68" s="280"/>
      <c r="O68" s="280"/>
      <c r="P68" s="252"/>
      <c r="AA68"/>
      <c r="AB68"/>
      <c r="AW68" s="1"/>
      <c r="BG68" s="1"/>
      <c r="BR68" s="63"/>
      <c r="BS68"/>
      <c r="BT68"/>
      <c r="CN68" s="1"/>
      <c r="CX68" s="1"/>
      <c r="DG68" s="138"/>
    </row>
    <row r="69" spans="1:114" hidden="1">
      <c r="A69" s="297" t="s">
        <v>219</v>
      </c>
      <c r="B69" s="295"/>
      <c r="C69" s="295"/>
      <c r="D69" s="295">
        <f>COUNTIF([0]!Juli1,"Rul 2")</f>
        <v>0</v>
      </c>
      <c r="E69" s="296"/>
      <c r="F69" s="295"/>
      <c r="G69" s="295"/>
      <c r="H69" s="288"/>
      <c r="I69" s="292"/>
      <c r="J69" s="292"/>
      <c r="K69" s="292"/>
      <c r="L69" s="292"/>
      <c r="N69" s="252"/>
      <c r="O69" s="252"/>
      <c r="AA69"/>
      <c r="AB69"/>
      <c r="AW69" s="1"/>
      <c r="BG69" s="1"/>
      <c r="BR69" s="63"/>
      <c r="BS69"/>
      <c r="BT69"/>
      <c r="CN69" s="1"/>
      <c r="CX69" s="1"/>
      <c r="DG69" s="138"/>
    </row>
    <row r="70" spans="1:114" hidden="1">
      <c r="A70" s="297" t="s">
        <v>220</v>
      </c>
      <c r="B70" s="295"/>
      <c r="C70" s="295"/>
      <c r="D70" s="295">
        <f>COUNTIF([0]!Juli1,"Rul 3")</f>
        <v>0</v>
      </c>
      <c r="E70" s="296"/>
      <c r="F70" s="295"/>
      <c r="G70" s="295"/>
      <c r="H70" s="288"/>
      <c r="I70" s="292"/>
      <c r="J70" s="292"/>
      <c r="K70" s="292"/>
      <c r="L70" s="292"/>
      <c r="P70" s="288"/>
      <c r="AA70"/>
      <c r="AB70"/>
      <c r="AW70" s="1"/>
      <c r="BG70" s="1"/>
      <c r="BR70" s="63"/>
      <c r="BS70"/>
      <c r="BT70"/>
      <c r="CN70" s="1"/>
      <c r="CX70" s="1"/>
      <c r="DG70" s="138"/>
    </row>
    <row r="71" spans="1:114" hidden="1">
      <c r="A71" s="297" t="s">
        <v>221</v>
      </c>
      <c r="B71" s="295"/>
      <c r="C71" s="295"/>
      <c r="D71" s="295">
        <f>COUNTIF([0]!Juli1,"Rul 4")</f>
        <v>0</v>
      </c>
      <c r="E71" s="296"/>
      <c r="F71" s="295"/>
      <c r="G71" s="295"/>
      <c r="H71" s="288"/>
      <c r="I71" s="292"/>
      <c r="J71" s="292"/>
      <c r="K71" s="292"/>
      <c r="L71" s="292"/>
      <c r="AA71"/>
      <c r="AB71"/>
      <c r="AW71" s="1"/>
      <c r="BG71" s="1"/>
      <c r="BS71"/>
      <c r="BT71"/>
      <c r="CN71" s="1"/>
      <c r="CX71" s="1"/>
      <c r="DG71" s="138"/>
    </row>
    <row r="72" spans="1:114" hidden="1">
      <c r="A72" s="297" t="s">
        <v>222</v>
      </c>
      <c r="B72" s="295"/>
      <c r="C72" s="295"/>
      <c r="D72" s="295">
        <f>COUNTIF([0]!Juli1,"Rul 5")</f>
        <v>0</v>
      </c>
      <c r="E72" s="296"/>
      <c r="F72" s="295"/>
      <c r="G72" s="295"/>
      <c r="H72" s="288"/>
      <c r="I72" s="292"/>
      <c r="J72" s="292"/>
      <c r="K72" s="292"/>
      <c r="L72" s="292"/>
      <c r="AA72"/>
      <c r="AB72"/>
      <c r="AW72" s="1"/>
      <c r="BG72" s="1"/>
      <c r="BS72"/>
      <c r="BT72"/>
      <c r="CN72" s="1"/>
      <c r="CX72" s="1"/>
      <c r="DG72" s="138"/>
    </row>
    <row r="73" spans="1:114" hidden="1">
      <c r="A73" s="297" t="s">
        <v>223</v>
      </c>
      <c r="B73" s="295"/>
      <c r="C73" s="295"/>
      <c r="D73" s="295">
        <f>COUNTIF([0]!Juli1,"Rul 6")</f>
        <v>0</v>
      </c>
      <c r="E73" s="296"/>
      <c r="F73" s="298"/>
      <c r="G73" s="298"/>
      <c r="H73" s="294"/>
      <c r="I73" s="292"/>
      <c r="J73" s="292"/>
      <c r="K73" s="292"/>
      <c r="L73" s="292"/>
      <c r="AA73"/>
      <c r="AB73"/>
      <c r="AW73" s="1"/>
      <c r="BG73" s="1"/>
      <c r="BS73"/>
      <c r="BT73"/>
      <c r="CN73" s="1"/>
      <c r="CX73" s="1"/>
      <c r="DG73" s="138"/>
    </row>
    <row r="74" spans="1:114" hidden="1">
      <c r="A74" s="295" t="s">
        <v>83</v>
      </c>
      <c r="B74" s="295"/>
      <c r="C74" s="295"/>
      <c r="D74" s="295">
        <f>COUNTIF([0]!Juli1,"Pæd.dag")</f>
        <v>0</v>
      </c>
      <c r="E74" s="296"/>
      <c r="F74" s="295"/>
      <c r="G74" s="295"/>
      <c r="H74" s="288"/>
      <c r="I74" s="292"/>
      <c r="J74" s="292"/>
      <c r="K74" s="292"/>
      <c r="L74" s="291"/>
      <c r="AA74"/>
      <c r="AB74"/>
      <c r="AW74" s="1"/>
      <c r="BG74" s="1"/>
      <c r="BS74"/>
      <c r="BT74"/>
      <c r="CN74" s="1"/>
      <c r="CX74" s="1"/>
      <c r="DG74" s="138"/>
    </row>
    <row r="75" spans="1:114" hidden="1">
      <c r="A75" s="295" t="s">
        <v>227</v>
      </c>
      <c r="B75" s="295"/>
      <c r="C75" s="295"/>
      <c r="D75" s="295">
        <f>COUNTIF([0]!Juli1,"Koloni")</f>
        <v>0</v>
      </c>
      <c r="E75" s="296"/>
      <c r="F75" s="295"/>
      <c r="G75" s="295"/>
      <c r="H75" s="288"/>
      <c r="I75" s="292"/>
      <c r="J75" s="292"/>
      <c r="K75" s="292"/>
      <c r="L75" s="291"/>
      <c r="AA75"/>
      <c r="AB75"/>
      <c r="AW75" s="1"/>
      <c r="BG75" s="1"/>
      <c r="BS75"/>
      <c r="BT75"/>
      <c r="CN75" s="1"/>
      <c r="CX75" s="1"/>
      <c r="DG75" s="138"/>
    </row>
    <row r="76" spans="1:114" hidden="1">
      <c r="A76" s="295" t="s">
        <v>82</v>
      </c>
      <c r="B76" s="295"/>
      <c r="C76" s="295"/>
      <c r="D76" s="295">
        <f>COUNTIF([0]!Juli1,"Ekskursion")</f>
        <v>0</v>
      </c>
      <c r="E76" s="296"/>
      <c r="F76" s="295"/>
      <c r="G76" s="295"/>
      <c r="H76" s="288"/>
      <c r="I76" s="292"/>
      <c r="J76" s="292"/>
      <c r="K76" s="292"/>
      <c r="L76" s="291"/>
      <c r="AA76"/>
      <c r="AB76"/>
      <c r="AW76" s="1"/>
      <c r="BG76" s="1"/>
      <c r="BS76"/>
      <c r="BT76"/>
      <c r="CN76" s="1"/>
      <c r="CX76" s="1"/>
      <c r="DG76" s="138"/>
    </row>
    <row r="77" spans="1:114" hidden="1">
      <c r="A77" s="295" t="s">
        <v>109</v>
      </c>
      <c r="B77" s="295"/>
      <c r="C77" s="295"/>
      <c r="D77" s="295">
        <f>COUNTIF([0]!Juli1,"Feriedag")</f>
        <v>0</v>
      </c>
      <c r="E77" s="295"/>
      <c r="F77" s="295"/>
      <c r="G77" s="295"/>
      <c r="H77" s="288"/>
      <c r="I77" s="292"/>
      <c r="J77" s="292"/>
      <c r="K77" s="292"/>
      <c r="L77" s="291"/>
      <c r="AA77"/>
      <c r="AB77"/>
      <c r="AW77" s="1"/>
      <c r="BG77" s="1"/>
      <c r="BS77"/>
      <c r="BT77"/>
      <c r="CN77" s="1"/>
      <c r="CX77" s="1"/>
      <c r="DG77" s="138"/>
    </row>
    <row r="78" spans="1:114" hidden="1">
      <c r="A78" s="295" t="s">
        <v>78</v>
      </c>
      <c r="B78" s="295"/>
      <c r="C78" s="295"/>
      <c r="D78" s="295">
        <f>COUNTIF([0]!Juli1,"Nul-dag")</f>
        <v>0</v>
      </c>
      <c r="E78" s="299"/>
      <c r="F78" s="295"/>
      <c r="G78" s="295"/>
      <c r="H78" s="288"/>
      <c r="I78" s="292"/>
      <c r="J78" s="292"/>
      <c r="K78" s="292"/>
      <c r="L78" s="291"/>
      <c r="AA78"/>
      <c r="AB78"/>
      <c r="AW78" s="1"/>
      <c r="BG78" s="1"/>
      <c r="BS78"/>
      <c r="BT78"/>
      <c r="CN78" s="1"/>
      <c r="CX78" s="1"/>
      <c r="DG78" s="138"/>
    </row>
    <row r="79" spans="1:114" hidden="1">
      <c r="A79" s="295" t="s">
        <v>176</v>
      </c>
      <c r="B79" s="295"/>
      <c r="C79" s="295"/>
      <c r="D79" s="295">
        <f>COUNTIF([0]!Juli1,"Orlov")</f>
        <v>0</v>
      </c>
      <c r="E79" s="295"/>
      <c r="F79" s="295"/>
      <c r="G79" s="295"/>
      <c r="H79" s="288"/>
      <c r="I79" s="288"/>
      <c r="J79" s="292"/>
      <c r="K79" s="292"/>
      <c r="L79" s="291"/>
      <c r="AA79"/>
      <c r="AB79"/>
      <c r="AW79" s="1"/>
      <c r="BG79" s="1"/>
      <c r="BS79"/>
      <c r="BT79"/>
      <c r="CN79" s="1"/>
      <c r="CX79" s="1"/>
      <c r="DG79" s="138"/>
    </row>
    <row r="80" spans="1:114" hidden="1">
      <c r="A80" s="295" t="s">
        <v>98</v>
      </c>
      <c r="B80" s="295"/>
      <c r="C80" s="295"/>
      <c r="D80" s="295">
        <f>COUNTIF([0]!Juli1,"Ikke relevant")</f>
        <v>0</v>
      </c>
      <c r="E80" s="295"/>
      <c r="F80" s="295"/>
      <c r="G80" s="295"/>
      <c r="H80" s="288"/>
      <c r="I80" s="288"/>
      <c r="J80" s="291"/>
      <c r="K80" s="291"/>
      <c r="L80" s="291"/>
      <c r="AA80"/>
      <c r="AB80"/>
      <c r="AW80" s="1"/>
      <c r="BG80" s="1"/>
      <c r="BS80"/>
      <c r="BT80"/>
      <c r="CN80" s="1"/>
      <c r="CX80" s="1"/>
      <c r="DG80" s="138"/>
    </row>
    <row r="81" spans="1:114" hidden="1">
      <c r="A81" s="295" t="s">
        <v>77</v>
      </c>
      <c r="B81" s="295"/>
      <c r="C81" s="295"/>
      <c r="D81" s="295">
        <f>COUNTIF([0]!Juli1,"Weekend")</f>
        <v>8</v>
      </c>
      <c r="E81" s="295"/>
      <c r="F81" s="295"/>
      <c r="G81" s="295"/>
      <c r="H81" s="288"/>
      <c r="I81" s="288"/>
      <c r="J81" s="291"/>
      <c r="K81" s="291"/>
      <c r="L81" s="291"/>
      <c r="AA81"/>
      <c r="AB81"/>
      <c r="AW81" s="1"/>
      <c r="BG81" s="1">
        <f>SUM(Z87:BF87)</f>
        <v>0</v>
      </c>
      <c r="BS81"/>
      <c r="BT81"/>
      <c r="CN81" s="1"/>
      <c r="CX81" s="1"/>
      <c r="DG81" s="138"/>
    </row>
    <row r="82" spans="1:114" hidden="1">
      <c r="A82" s="293" t="s">
        <v>76</v>
      </c>
      <c r="B82" s="295"/>
      <c r="C82" s="295"/>
      <c r="D82" s="295">
        <f>COUNTIF([0]!Juli1,"SH-dag")</f>
        <v>0</v>
      </c>
      <c r="E82" s="295"/>
      <c r="F82" s="295"/>
      <c r="G82" s="295"/>
      <c r="H82" s="288"/>
      <c r="I82" s="288"/>
      <c r="J82" s="291"/>
      <c r="K82" s="291"/>
      <c r="L82" s="291"/>
      <c r="AA82"/>
      <c r="AB82"/>
      <c r="AW82" s="1">
        <f>SUM(P82:AV82)</f>
        <v>0</v>
      </c>
      <c r="BG82" s="1">
        <f>SUM(Z88:BF88)</f>
        <v>0</v>
      </c>
      <c r="BS82"/>
      <c r="BT82"/>
      <c r="CN82" s="1">
        <f>SUM(AV82:CM82)</f>
        <v>0</v>
      </c>
      <c r="CX82" s="1">
        <f>SUM(BQ87:CW87)</f>
        <v>0</v>
      </c>
      <c r="DG82" s="138"/>
    </row>
    <row r="83" spans="1:114" hidden="1">
      <c r="A83" s="295" t="s">
        <v>73</v>
      </c>
      <c r="B83" s="295"/>
      <c r="C83" s="295"/>
      <c r="D83" s="295">
        <f>SUM(D60:D82)</f>
        <v>31</v>
      </c>
      <c r="E83" s="295"/>
      <c r="F83" s="295"/>
      <c r="G83" s="295"/>
      <c r="H83" s="288"/>
      <c r="I83" s="288"/>
      <c r="J83" s="291"/>
      <c r="K83" s="291"/>
      <c r="L83" s="291"/>
      <c r="AA83"/>
      <c r="AB83"/>
      <c r="AW83" s="1">
        <f>SUM(P83:AV83)</f>
        <v>0</v>
      </c>
      <c r="BG83" s="1">
        <f>SUM(Z89:BF89)</f>
        <v>0</v>
      </c>
      <c r="BS83"/>
      <c r="BT83"/>
      <c r="CN83" s="1">
        <f>SUM(AV83:CM83)</f>
        <v>0</v>
      </c>
      <c r="CX83" s="1">
        <f>SUM(BQ88:CW88)</f>
        <v>0</v>
      </c>
      <c r="DG83" s="138"/>
    </row>
    <row r="84" spans="1:114" hidden="1">
      <c r="A84" s="295" t="s">
        <v>122</v>
      </c>
      <c r="B84" s="295"/>
      <c r="C84" s="295"/>
      <c r="D84" s="295">
        <f>D83-D77-A93-D81-D82</f>
        <v>23</v>
      </c>
      <c r="E84" s="295"/>
      <c r="F84" s="295"/>
      <c r="G84" s="295"/>
      <c r="H84" s="288"/>
      <c r="I84" s="288"/>
      <c r="J84" s="291"/>
      <c r="K84" s="291"/>
      <c r="L84" s="291"/>
      <c r="AA84"/>
      <c r="AB84"/>
      <c r="AW84" s="1">
        <f>SUM(P84:AV84)</f>
        <v>0</v>
      </c>
      <c r="BG84" s="1">
        <f>SUM(Z90:BF90)</f>
        <v>0</v>
      </c>
      <c r="BS84"/>
      <c r="BT84"/>
      <c r="CN84" s="1">
        <f>SUM(AV84:CM84)</f>
        <v>0</v>
      </c>
      <c r="CX84" s="1">
        <f>SUM(BQ89:CW89)</f>
        <v>0</v>
      </c>
      <c r="DG84" s="138"/>
    </row>
    <row r="85" spans="1:114" hidden="1">
      <c r="A85" s="295"/>
      <c r="B85" s="295"/>
      <c r="C85" s="295"/>
      <c r="D85" s="295"/>
      <c r="E85" s="295"/>
      <c r="F85" s="295"/>
      <c r="G85" s="295"/>
      <c r="H85" s="288"/>
      <c r="I85" s="288"/>
      <c r="J85" s="291"/>
      <c r="K85" s="291"/>
      <c r="L85" s="291"/>
      <c r="AA85"/>
      <c r="AB85"/>
      <c r="AW85" s="1">
        <f>SUM(P85:AV85)</f>
        <v>0</v>
      </c>
      <c r="BS85"/>
      <c r="BT85"/>
      <c r="CN85" s="1">
        <f>SUM(AV85:CM85)</f>
        <v>0</v>
      </c>
      <c r="CX85" s="1">
        <f>SUM(BQ90:CW90)</f>
        <v>0</v>
      </c>
      <c r="DG85" s="138"/>
    </row>
    <row r="86" spans="1:114" hidden="1">
      <c r="A86" s="295"/>
      <c r="B86" s="295"/>
      <c r="C86" s="295"/>
      <c r="D86" s="295"/>
      <c r="E86" s="295"/>
      <c r="F86" s="295"/>
      <c r="G86" s="295"/>
      <c r="H86" s="288"/>
      <c r="I86" s="288"/>
      <c r="J86" s="291"/>
      <c r="K86" s="291"/>
      <c r="L86" s="33"/>
      <c r="AA86"/>
      <c r="AB86"/>
      <c r="BS86"/>
      <c r="BT86"/>
      <c r="DG86" s="138"/>
    </row>
    <row r="87" spans="1:114" hidden="1">
      <c r="A87" s="295" t="s">
        <v>138</v>
      </c>
      <c r="B87" s="295"/>
      <c r="C87" s="295"/>
      <c r="D87" s="295"/>
      <c r="E87" s="295"/>
      <c r="F87" s="295"/>
      <c r="G87" s="295"/>
      <c r="H87" s="291"/>
      <c r="I87" s="288"/>
      <c r="J87" s="291"/>
      <c r="K87" s="291"/>
      <c r="L87" s="33"/>
      <c r="AA87"/>
      <c r="AB87"/>
      <c r="BS87"/>
      <c r="BT87"/>
      <c r="DG87" s="138"/>
    </row>
    <row r="88" spans="1:114" hidden="1">
      <c r="A88" s="295">
        <f>COUNTIF(C18:C19,"Normal uge 1")+COUNTIF(C18:C19,"Normal uge 2")+COUNTIF(C18:C19,"Normal uge 3")+COUNTIF(C18:C19,"Normal uge 4")+COUNTIF(C18:C19,"Anderledes dag")+COUNTIF(C18:C19,"Feriepasningsdag")+COUNTIF(C18:C19,"Koloni")+COUNTIF(C18:C19,"Ekskursion")+COUNTIF(C18:C19,"Pæd.dag")</f>
        <v>0</v>
      </c>
      <c r="B88" s="295"/>
      <c r="C88" s="295"/>
      <c r="D88" s="295"/>
      <c r="E88" s="295"/>
      <c r="F88" s="295"/>
      <c r="G88" s="295"/>
      <c r="H88" s="291"/>
      <c r="I88" s="291"/>
      <c r="J88" s="291"/>
      <c r="K88" s="291"/>
      <c r="L88" s="33"/>
      <c r="AA88"/>
      <c r="AB88"/>
      <c r="BS88"/>
      <c r="BT88"/>
      <c r="DG88" s="138"/>
    </row>
    <row r="89" spans="1:114" hidden="1">
      <c r="A89" s="295">
        <f>COUNTIF(C25:C26,"Normal uge 1")+COUNTIF(C25:C26,"Normal uge 2")+COUNTIF(C25:C26,"Normal uge 3")+COUNTIF(C25:C26,"Normal uge 4")+COUNTIF(C25:C26,"Anderledes dag")+COUNTIF(C25:C26,"Feriepasningsdag")+COUNTIF(C25:C26,"Pæd.dag")+COUNTIF(C25:C26,"Ekskursion")+COUNTIF(C25:C26,"Koloni")</f>
        <v>0</v>
      </c>
      <c r="B89" s="295"/>
      <c r="C89" s="295"/>
      <c r="D89" s="295"/>
      <c r="E89" s="295"/>
      <c r="F89" s="295"/>
      <c r="G89" s="295"/>
      <c r="H89" s="291"/>
      <c r="I89" s="33"/>
      <c r="J89" s="291"/>
      <c r="K89" s="291"/>
      <c r="L89" s="33"/>
      <c r="AA89"/>
      <c r="AB89"/>
      <c r="BS89"/>
      <c r="BT89"/>
      <c r="DG89" s="138"/>
    </row>
    <row r="90" spans="1:114" hidden="1">
      <c r="A90" s="295">
        <f>COUNTIF(C32:C33,"Normal uge 1")+COUNTIF(C32:C33,"Normal uge 2")+COUNTIF(C32:C33,"Normal uge 3")+COUNTIF(C32:C33,"Normal uge 4")+COUNTIF(C32:C33,"Anderledes dag")+COUNTIF(C32:C33,"Feriepasningsdag")+COUNTIF(C32:C33,"Koloni")+COUNTIF(C32:C33,"Ekskursion")+COUNTIF(C32:C33,"Pæd.dag")</f>
        <v>0</v>
      </c>
      <c r="B90" s="295"/>
      <c r="C90" s="295"/>
      <c r="D90" s="295"/>
      <c r="E90" s="288"/>
      <c r="F90" s="288"/>
      <c r="G90" s="288"/>
      <c r="H90" s="291"/>
      <c r="I90" s="33"/>
      <c r="J90" s="33"/>
      <c r="K90" s="33"/>
      <c r="L90" s="33"/>
      <c r="AA90"/>
      <c r="AB90"/>
      <c r="BS90"/>
      <c r="BT90"/>
      <c r="DG90" s="138"/>
    </row>
    <row r="91" spans="1:114" hidden="1">
      <c r="A91" s="295">
        <f>COUNTIF(C39:C40,"Normal uge 1")+COUNTIF(C39:C40,"Normal uge 2")+COUNTIF(C39:C40,"Normal uge 3")+COUNTIF(C39:C40,"Normal uge 4")+COUNTIF(C39:C40,"Anderledes dag")+COUNTIF(C39:C40,"Feriepasningsdag")+COUNTIF(C39:C40,"Koloni")+COUNTIF(C39:C40,"Ekskursion")+COUNTIF(C39:C40,"Pæd.dag")</f>
        <v>0</v>
      </c>
      <c r="B91" s="295"/>
      <c r="C91" s="295"/>
      <c r="D91" s="295"/>
      <c r="E91" s="288"/>
      <c r="F91" s="288"/>
      <c r="G91" s="288"/>
      <c r="H91" s="291"/>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5"/>
      <c r="B92" s="295"/>
      <c r="C92" s="295"/>
      <c r="D92" s="295"/>
      <c r="E92" s="288"/>
      <c r="F92" s="288"/>
      <c r="G92" s="288"/>
      <c r="H92" s="291"/>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5">
        <f>SUM(A88:A92)</f>
        <v>0</v>
      </c>
      <c r="B93" s="295"/>
      <c r="C93" s="295"/>
      <c r="D93" s="295"/>
      <c r="E93" s="68"/>
      <c r="F93" s="68"/>
      <c r="G93" s="68"/>
      <c r="H93" s="33"/>
      <c r="I93" s="33"/>
      <c r="J93" s="33"/>
      <c r="K93" s="33"/>
      <c r="L93" s="33"/>
    </row>
    <row r="94" spans="1:114" hidden="1">
      <c r="A94" s="300"/>
      <c r="B94" s="300"/>
      <c r="C94" s="300"/>
      <c r="D94" s="300"/>
      <c r="E94" s="68"/>
      <c r="F94" s="68"/>
      <c r="G94" s="68"/>
      <c r="H94" s="33"/>
      <c r="I94" s="33"/>
      <c r="J94" s="33"/>
      <c r="K94" s="33"/>
      <c r="L94" s="33"/>
    </row>
    <row r="95" spans="1:114" hidden="1">
      <c r="A95" s="33"/>
      <c r="B95" s="33"/>
      <c r="C95" s="33"/>
      <c r="D95" s="33"/>
      <c r="E95" s="260"/>
      <c r="F95" s="260"/>
      <c r="G95" s="260"/>
      <c r="H95" s="260"/>
      <c r="I95" s="260"/>
      <c r="J95" s="260"/>
      <c r="K95" s="260"/>
      <c r="L95" s="260"/>
    </row>
    <row r="96" spans="1:114" hidden="1">
      <c r="A96" s="33"/>
      <c r="B96" s="33"/>
      <c r="C96" s="33"/>
      <c r="D96" s="33"/>
      <c r="E96" s="260"/>
      <c r="F96" s="260"/>
      <c r="G96" s="260"/>
      <c r="H96" s="260"/>
      <c r="I96" s="260"/>
      <c r="J96" s="260"/>
      <c r="K96" s="260"/>
      <c r="L96" s="260"/>
    </row>
    <row r="97" spans="1:12" hidden="1">
      <c r="A97" s="33"/>
      <c r="B97" s="33"/>
      <c r="C97" s="33"/>
      <c r="D97" s="33"/>
      <c r="E97" s="260"/>
      <c r="F97" s="260"/>
      <c r="G97" s="260"/>
      <c r="H97" s="260"/>
      <c r="I97" s="260"/>
      <c r="J97" s="260"/>
      <c r="K97" s="260"/>
      <c r="L97" s="260"/>
    </row>
    <row r="98" spans="1:12" hidden="1">
      <c r="A98" s="260"/>
      <c r="B98" s="260"/>
      <c r="C98" s="260"/>
      <c r="D98" s="260"/>
      <c r="E98" s="260"/>
      <c r="F98" s="260"/>
      <c r="G98" s="260"/>
      <c r="H98" s="260"/>
      <c r="I98" s="260"/>
      <c r="J98" s="260"/>
      <c r="K98" s="260"/>
      <c r="L98" s="260"/>
    </row>
    <row r="99" spans="1:12" hidden="1">
      <c r="A99" s="260"/>
      <c r="B99" s="260"/>
      <c r="C99" s="260"/>
      <c r="D99" s="260"/>
      <c r="E99" s="260"/>
      <c r="F99" s="260"/>
      <c r="G99" s="260"/>
      <c r="H99" s="260"/>
      <c r="I99" s="260"/>
      <c r="J99" s="260"/>
      <c r="K99" s="260"/>
      <c r="L99" s="260"/>
    </row>
    <row r="100" spans="1:12" hidden="1">
      <c r="A100" s="260"/>
      <c r="B100" s="260"/>
      <c r="C100" s="260"/>
      <c r="D100" s="260"/>
      <c r="E100" s="260"/>
      <c r="F100" s="260"/>
      <c r="G100" s="260"/>
      <c r="H100" s="260"/>
      <c r="I100" s="260"/>
      <c r="J100" s="260"/>
      <c r="K100" s="260"/>
      <c r="L100" s="260"/>
    </row>
    <row r="101" spans="1:12" hidden="1">
      <c r="A101" s="260"/>
      <c r="B101" s="260"/>
      <c r="C101" s="260"/>
      <c r="D101" s="260"/>
      <c r="E101" s="260"/>
      <c r="F101" s="260"/>
      <c r="G101" s="260"/>
      <c r="H101" s="260"/>
      <c r="I101" s="260"/>
      <c r="J101" s="260"/>
      <c r="K101" s="260"/>
      <c r="L101" s="260"/>
    </row>
    <row r="102" spans="1:12">
      <c r="A102" s="260"/>
      <c r="B102" s="260"/>
      <c r="C102" s="260"/>
      <c r="D102" s="260"/>
      <c r="E102" s="260"/>
      <c r="F102" s="260"/>
      <c r="G102" s="260"/>
      <c r="H102" s="260"/>
      <c r="I102" s="260"/>
      <c r="J102" s="260"/>
      <c r="K102" s="260"/>
      <c r="L102" s="260"/>
    </row>
    <row r="103" spans="1:12">
      <c r="A103" s="260"/>
      <c r="B103" s="260"/>
      <c r="C103" s="260"/>
      <c r="D103" s="260"/>
      <c r="E103" s="260"/>
      <c r="F103" s="260"/>
      <c r="G103" s="260"/>
      <c r="H103" s="260"/>
      <c r="I103" s="260"/>
      <c r="J103" s="260"/>
      <c r="K103" s="260"/>
      <c r="L103" s="260"/>
    </row>
    <row r="104" spans="1:12">
      <c r="A104" s="260"/>
      <c r="B104" s="260"/>
      <c r="C104" s="260"/>
      <c r="D104" s="260"/>
      <c r="E104" s="260"/>
      <c r="F104" s="260"/>
      <c r="G104" s="260"/>
      <c r="H104" s="260"/>
      <c r="I104" s="260"/>
      <c r="J104" s="260"/>
      <c r="K104" s="260"/>
      <c r="L104" s="260"/>
    </row>
    <row r="105" spans="1:12">
      <c r="A105" s="260"/>
      <c r="B105" s="260"/>
      <c r="C105" s="260"/>
      <c r="D105" s="260"/>
      <c r="E105" s="260"/>
      <c r="F105" s="260"/>
      <c r="G105" s="260"/>
      <c r="H105" s="260"/>
      <c r="I105" s="260"/>
      <c r="J105" s="260"/>
      <c r="K105" s="260"/>
      <c r="L105" s="260"/>
    </row>
    <row r="106" spans="1:12">
      <c r="A106" s="260"/>
      <c r="B106" s="260"/>
      <c r="C106" s="260"/>
      <c r="D106" s="260"/>
      <c r="E106" s="260"/>
      <c r="F106" s="260"/>
      <c r="G106" s="260"/>
      <c r="H106" s="260"/>
      <c r="I106" s="260"/>
      <c r="J106" s="260"/>
      <c r="K106" s="260"/>
      <c r="L106" s="260"/>
    </row>
    <row r="107" spans="1:12">
      <c r="A107" s="260"/>
      <c r="B107" s="260"/>
      <c r="C107" s="260"/>
      <c r="D107" s="260"/>
      <c r="E107" s="260"/>
      <c r="F107" s="260"/>
      <c r="G107" s="260"/>
      <c r="H107" s="260"/>
      <c r="I107" s="260"/>
      <c r="J107" s="260"/>
      <c r="K107" s="260"/>
      <c r="L107" s="260"/>
    </row>
    <row r="108" spans="1:12">
      <c r="A108" s="260"/>
      <c r="B108" s="260"/>
      <c r="C108" s="260"/>
      <c r="D108" s="260"/>
      <c r="E108" s="260"/>
      <c r="F108" s="260"/>
      <c r="G108" s="260"/>
      <c r="H108" s="260"/>
      <c r="I108" s="260"/>
      <c r="J108" s="260"/>
      <c r="K108" s="260"/>
      <c r="L108" s="260"/>
    </row>
    <row r="109" spans="1:12">
      <c r="A109" s="260"/>
      <c r="B109" s="260"/>
      <c r="C109" s="260"/>
      <c r="D109" s="260"/>
      <c r="E109" s="260"/>
      <c r="F109" s="260"/>
      <c r="G109" s="260"/>
      <c r="H109" s="260"/>
      <c r="I109" s="260"/>
      <c r="J109" s="260"/>
      <c r="K109" s="260"/>
      <c r="L109" s="260"/>
    </row>
    <row r="110" spans="1:12">
      <c r="A110" s="260"/>
      <c r="B110" s="260"/>
      <c r="C110" s="260"/>
      <c r="D110" s="260"/>
      <c r="E110" s="260"/>
      <c r="F110" s="260"/>
      <c r="G110" s="260"/>
      <c r="H110" s="260"/>
      <c r="I110" s="260"/>
      <c r="J110" s="260"/>
      <c r="K110" s="260"/>
      <c r="L110" s="260"/>
    </row>
    <row r="111" spans="1:12">
      <c r="A111" s="260"/>
      <c r="B111" s="260"/>
      <c r="C111" s="260"/>
      <c r="D111" s="260"/>
      <c r="E111" s="260"/>
      <c r="F111" s="260"/>
      <c r="G111" s="260"/>
      <c r="H111" s="260"/>
      <c r="I111" s="260"/>
      <c r="J111" s="260"/>
      <c r="K111" s="260"/>
      <c r="L111" s="260"/>
    </row>
    <row r="112" spans="1:12">
      <c r="A112" s="260"/>
      <c r="B112" s="260"/>
      <c r="C112" s="260"/>
      <c r="D112" s="260"/>
      <c r="E112" s="260"/>
      <c r="F112" s="260"/>
      <c r="G112" s="260"/>
      <c r="H112" s="260"/>
      <c r="I112" s="260"/>
      <c r="J112" s="260"/>
      <c r="K112" s="260"/>
      <c r="L112" s="260"/>
    </row>
    <row r="113" spans="1:12">
      <c r="A113" s="260"/>
      <c r="B113" s="260"/>
      <c r="C113" s="260"/>
      <c r="D113" s="260"/>
      <c r="E113" s="260"/>
      <c r="F113" s="260"/>
      <c r="G113" s="260"/>
      <c r="H113" s="260"/>
      <c r="I113" s="260"/>
      <c r="J113" s="260"/>
      <c r="K113" s="260"/>
      <c r="L113" s="260"/>
    </row>
    <row r="114" spans="1:12">
      <c r="A114" s="260"/>
      <c r="B114" s="260"/>
      <c r="C114" s="260"/>
      <c r="D114" s="260"/>
      <c r="E114" s="260"/>
      <c r="F114" s="260"/>
      <c r="G114" s="260"/>
      <c r="H114" s="260"/>
      <c r="I114" s="260"/>
      <c r="J114" s="260"/>
      <c r="K114" s="260"/>
      <c r="L114" s="260"/>
    </row>
    <row r="115" spans="1:12">
      <c r="A115" s="260"/>
      <c r="B115" s="260"/>
      <c r="C115" s="260"/>
      <c r="D115" s="260"/>
      <c r="E115" s="260"/>
      <c r="F115" s="260"/>
      <c r="G115" s="260"/>
      <c r="H115" s="260"/>
      <c r="I115" s="260"/>
      <c r="J115" s="260"/>
      <c r="K115" s="260"/>
      <c r="L115" s="260"/>
    </row>
    <row r="116" spans="1:12">
      <c r="A116" s="260"/>
      <c r="B116" s="260"/>
      <c r="C116" s="260"/>
      <c r="D116" s="260"/>
      <c r="E116" s="260"/>
      <c r="F116" s="260"/>
      <c r="G116" s="260"/>
      <c r="H116" s="260"/>
      <c r="I116" s="260"/>
      <c r="J116" s="260"/>
      <c r="K116" s="260"/>
      <c r="L116" s="260"/>
    </row>
    <row r="117" spans="1:12">
      <c r="A117" s="260"/>
      <c r="B117" s="260"/>
      <c r="C117" s="260"/>
      <c r="D117" s="260"/>
      <c r="E117" s="260"/>
      <c r="F117" s="260"/>
      <c r="G117" s="260"/>
      <c r="H117" s="260"/>
      <c r="I117" s="260"/>
      <c r="J117" s="260"/>
      <c r="K117" s="260"/>
      <c r="L117" s="260"/>
    </row>
    <row r="118" spans="1:12">
      <c r="A118" s="260"/>
      <c r="B118" s="260"/>
      <c r="C118" s="260"/>
      <c r="D118" s="260"/>
      <c r="E118" s="260"/>
      <c r="F118" s="260"/>
      <c r="G118" s="260"/>
      <c r="H118" s="260"/>
      <c r="I118" s="260"/>
      <c r="J118" s="260"/>
      <c r="K118" s="260"/>
      <c r="L118" s="260"/>
    </row>
    <row r="119" spans="1:12">
      <c r="A119" s="260"/>
      <c r="B119" s="260"/>
      <c r="C119" s="260"/>
      <c r="D119" s="260"/>
      <c r="E119" s="260"/>
      <c r="F119" s="260"/>
      <c r="G119" s="260"/>
      <c r="H119" s="260"/>
      <c r="I119" s="260"/>
      <c r="J119" s="260"/>
      <c r="K119" s="260"/>
      <c r="L119" s="260"/>
    </row>
    <row r="120" spans="1:12">
      <c r="A120" s="260"/>
      <c r="B120" s="260"/>
      <c r="C120" s="260"/>
      <c r="D120" s="260"/>
      <c r="E120" s="260"/>
      <c r="F120" s="260"/>
      <c r="G120" s="260"/>
      <c r="H120" s="260"/>
      <c r="I120" s="260"/>
      <c r="J120" s="260"/>
      <c r="K120" s="260"/>
      <c r="L120" s="260"/>
    </row>
    <row r="121" spans="1:12">
      <c r="A121" s="260"/>
      <c r="B121" s="260"/>
      <c r="C121" s="260"/>
      <c r="D121" s="260"/>
      <c r="E121" s="260"/>
      <c r="F121" s="260"/>
      <c r="G121" s="260"/>
      <c r="H121" s="260"/>
      <c r="I121" s="260"/>
      <c r="J121" s="260"/>
      <c r="K121" s="260"/>
    </row>
    <row r="122" spans="1:12">
      <c r="A122" s="260"/>
      <c r="B122" s="260"/>
      <c r="C122" s="260"/>
      <c r="D122" s="260"/>
      <c r="E122" s="260"/>
      <c r="F122" s="260"/>
      <c r="G122" s="260"/>
      <c r="H122" s="260"/>
      <c r="I122" s="260"/>
      <c r="J122" s="260"/>
      <c r="K122" s="260"/>
    </row>
    <row r="123" spans="1:12">
      <c r="A123" s="260"/>
      <c r="B123" s="260"/>
      <c r="C123" s="260"/>
      <c r="D123" s="260"/>
      <c r="I123" s="260"/>
      <c r="J123" s="260"/>
      <c r="K123" s="260"/>
    </row>
    <row r="124" spans="1:12">
      <c r="A124" s="260"/>
      <c r="B124" s="260"/>
      <c r="C124" s="260"/>
      <c r="D124" s="260"/>
      <c r="J124" s="260"/>
      <c r="K124" s="260"/>
    </row>
    <row r="125" spans="1:12">
      <c r="A125" s="260"/>
      <c r="B125" s="260"/>
      <c r="C125" s="260"/>
      <c r="D125" s="260"/>
    </row>
    <row r="126" spans="1:12">
      <c r="A126" s="260"/>
      <c r="B126" s="260"/>
      <c r="C126" s="260"/>
      <c r="D126" s="260"/>
    </row>
    <row r="127" spans="1:12">
      <c r="A127" s="260"/>
      <c r="B127" s="260"/>
      <c r="C127" s="260"/>
      <c r="D127" s="260"/>
    </row>
    <row r="128" spans="1:12">
      <c r="A128" s="260"/>
      <c r="B128" s="260"/>
      <c r="C128" s="260"/>
      <c r="D128" s="260"/>
    </row>
  </sheetData>
  <sheetProtection sheet="1" objects="1" scenarios="1"/>
  <mergeCells count="116">
    <mergeCell ref="A63:C63"/>
    <mergeCell ref="H62:I62"/>
    <mergeCell ref="L51:U51"/>
    <mergeCell ref="T52:U52"/>
    <mergeCell ref="I55:J55"/>
    <mergeCell ref="N53:S53"/>
    <mergeCell ref="N54:S54"/>
    <mergeCell ref="I57:J57"/>
    <mergeCell ref="L57:S57"/>
    <mergeCell ref="A61:C61"/>
    <mergeCell ref="A62:C62"/>
    <mergeCell ref="A53:G53"/>
    <mergeCell ref="I53:J53"/>
    <mergeCell ref="N52:S52"/>
    <mergeCell ref="A54:H54"/>
    <mergeCell ref="I54:J54"/>
    <mergeCell ref="A56:H56"/>
    <mergeCell ref="I56:J56"/>
    <mergeCell ref="N55:S55"/>
    <mergeCell ref="N56:S56"/>
    <mergeCell ref="A50:G50"/>
    <mergeCell ref="I50:J50"/>
    <mergeCell ref="A51:G51"/>
    <mergeCell ref="I51:J51"/>
    <mergeCell ref="E45:G45"/>
    <mergeCell ref="A48:G48"/>
    <mergeCell ref="I48:J48"/>
    <mergeCell ref="A52:G52"/>
    <mergeCell ref="I52:J52"/>
    <mergeCell ref="L48:S49"/>
    <mergeCell ref="A49:G49"/>
    <mergeCell ref="I49:J49"/>
    <mergeCell ref="E39:G39"/>
    <mergeCell ref="E40:G40"/>
    <mergeCell ref="E41:G41"/>
    <mergeCell ref="E42:G42"/>
    <mergeCell ref="E43:G43"/>
    <mergeCell ref="E44:G44"/>
    <mergeCell ref="E38:G38"/>
    <mergeCell ref="E27:G27"/>
    <mergeCell ref="E28:G28"/>
    <mergeCell ref="E29:G29"/>
    <mergeCell ref="E30:G30"/>
    <mergeCell ref="E31:G31"/>
    <mergeCell ref="E32:G32"/>
    <mergeCell ref="E33:G33"/>
    <mergeCell ref="E34:G34"/>
    <mergeCell ref="E35:G35"/>
    <mergeCell ref="E36:G36"/>
    <mergeCell ref="E37:G37"/>
    <mergeCell ref="CU12:CY12"/>
    <mergeCell ref="CZ12:DD12"/>
    <mergeCell ref="BD12:BH12"/>
    <mergeCell ref="BI12:BM12"/>
    <mergeCell ref="S14:U14"/>
    <mergeCell ref="X12:AI12"/>
    <mergeCell ref="AJ12:AN12"/>
    <mergeCell ref="P12:U12"/>
    <mergeCell ref="AO12:AS12"/>
    <mergeCell ref="AT12:AX12"/>
    <mergeCell ref="AY12:BC12"/>
    <mergeCell ref="BP12:BZ12"/>
    <mergeCell ref="P11:U11"/>
    <mergeCell ref="E12:G14"/>
    <mergeCell ref="I12:J12"/>
    <mergeCell ref="CA12:CT12"/>
    <mergeCell ref="A13:D14"/>
    <mergeCell ref="H13:H14"/>
    <mergeCell ref="I14:M14"/>
    <mergeCell ref="P14:R14"/>
    <mergeCell ref="N11:O11"/>
    <mergeCell ref="N12:O12"/>
    <mergeCell ref="N14:O14"/>
    <mergeCell ref="K12:K13"/>
    <mergeCell ref="L12:L13"/>
    <mergeCell ref="M12:M13"/>
    <mergeCell ref="A2:D3"/>
    <mergeCell ref="A9:U9"/>
    <mergeCell ref="A10:D10"/>
    <mergeCell ref="E10:G10"/>
    <mergeCell ref="I10:J10"/>
    <mergeCell ref="K10:L10"/>
    <mergeCell ref="N10:O10"/>
    <mergeCell ref="E2:Q3"/>
    <mergeCell ref="A5:B5"/>
    <mergeCell ref="C5:D5"/>
    <mergeCell ref="E5:F5"/>
    <mergeCell ref="G5:H5"/>
    <mergeCell ref="I5:J5"/>
    <mergeCell ref="A6:B6"/>
    <mergeCell ref="C6:D6"/>
    <mergeCell ref="E6:F6"/>
    <mergeCell ref="A4:H4"/>
    <mergeCell ref="A8:B8"/>
    <mergeCell ref="C8:D8"/>
    <mergeCell ref="E8:F8"/>
    <mergeCell ref="G8:H8"/>
    <mergeCell ref="H61:I61"/>
    <mergeCell ref="G6:H6"/>
    <mergeCell ref="A7:B7"/>
    <mergeCell ref="C7:D7"/>
    <mergeCell ref="E7:F7"/>
    <mergeCell ref="G7:H7"/>
    <mergeCell ref="A11:M11"/>
    <mergeCell ref="E26:G26"/>
    <mergeCell ref="E15:G15"/>
    <mergeCell ref="E16:G16"/>
    <mergeCell ref="E17:G17"/>
    <mergeCell ref="E18:G18"/>
    <mergeCell ref="E19:G19"/>
    <mergeCell ref="E20:G20"/>
    <mergeCell ref="E21:G21"/>
    <mergeCell ref="E22:G22"/>
    <mergeCell ref="E23:G23"/>
    <mergeCell ref="E24:G24"/>
    <mergeCell ref="E25:G25"/>
  </mergeCells>
  <phoneticPr fontId="4" type="noConversion"/>
  <conditionalFormatting sqref="A15:H15 D16:H37 A16:C45 D38:E38 H38 D39:H45">
    <cfRule type="expression" dxfId="900" priority="2">
      <formula>OR($C15="Normal uge 6")</formula>
    </cfRule>
    <cfRule type="expression" dxfId="899" priority="3" stopIfTrue="1">
      <formula>OR($C15="Normal uge 5")</formula>
    </cfRule>
    <cfRule type="expression" dxfId="898" priority="16" stopIfTrue="1">
      <formula>OR($C15="Rul 6")</formula>
    </cfRule>
    <cfRule type="expression" dxfId="897" priority="17" stopIfTrue="1">
      <formula>OR($C15="Rul 5")</formula>
    </cfRule>
    <cfRule type="expression" dxfId="896" priority="18" stopIfTrue="1">
      <formula>OR($C15="Rul 4")</formula>
    </cfRule>
    <cfRule type="expression" dxfId="895" priority="19" stopIfTrue="1">
      <formula>OR($C15="Rul 3")</formula>
    </cfRule>
    <cfRule type="expression" dxfId="894" priority="20" stopIfTrue="1">
      <formula>OR($C15="Rul 1")</formula>
    </cfRule>
    <cfRule type="expression" dxfId="893" priority="21">
      <formula>OR($C15="Normal uge 1")</formula>
    </cfRule>
    <cfRule type="expression" dxfId="892" priority="27">
      <formula>OR($C15="Orlov")</formula>
    </cfRule>
    <cfRule type="expression" dxfId="891" priority="28">
      <formula>OR($C15="Normal uge 2")</formula>
    </cfRule>
    <cfRule type="expression" dxfId="890" priority="29">
      <formula>OR($C15="Normal uge 3")</formula>
    </cfRule>
    <cfRule type="expression" dxfId="889" priority="30">
      <formula>OR($C15="Normal uge 4")</formula>
    </cfRule>
    <cfRule type="expression" dxfId="888" priority="31">
      <formula>OR($C15="Ikke relevant")</formula>
    </cfRule>
    <cfRule type="expression" dxfId="887" priority="32">
      <formula>OR($C15="pæd.dag")</formula>
    </cfRule>
    <cfRule type="expression" dxfId="886" priority="33">
      <formula>OR($C15="nul-dag")</formula>
    </cfRule>
    <cfRule type="expression" dxfId="885" priority="34">
      <formula>OR($C15="SH-dag")</formula>
    </cfRule>
    <cfRule type="expression" dxfId="884" priority="41" stopIfTrue="1">
      <formula>OR($C15="Rul 2")</formula>
    </cfRule>
    <cfRule type="expression" dxfId="883" priority="40">
      <formula>OR($C15="weekend")</formula>
    </cfRule>
    <cfRule type="expression" dxfId="882" priority="39">
      <formula>OR($C15="feriedag")</formula>
    </cfRule>
    <cfRule type="expression" dxfId="881" priority="38" stopIfTrue="1">
      <formula>OR($C15="Ferieåbning")</formula>
    </cfRule>
    <cfRule type="expression" dxfId="880" priority="37">
      <formula>OR($C15="Anderledes dag")</formula>
    </cfRule>
    <cfRule type="expression" dxfId="879" priority="36">
      <formula>OR($C15="Koloni")</formula>
    </cfRule>
    <cfRule type="expression" dxfId="878" priority="35">
      <formula>OR($C15="ekskursion")</formula>
    </cfRule>
  </conditionalFormatting>
  <conditionalFormatting sqref="E26">
    <cfRule type="expression" dxfId="877" priority="49">
      <formula>OR($D25="feriedag")</formula>
    </cfRule>
    <cfRule type="expression" dxfId="876" priority="50">
      <formula>OR($D25="weekend")</formula>
    </cfRule>
    <cfRule type="expression" dxfId="875" priority="52">
      <formula>OR($D25="Ikke relevant")</formula>
    </cfRule>
    <cfRule type="expression" dxfId="874" priority="51" stopIfTrue="1">
      <formula>OR($D25="skoledag")</formula>
    </cfRule>
    <cfRule type="expression" dxfId="873" priority="42">
      <formula>OR($D25="pæd.dag")</formula>
    </cfRule>
    <cfRule type="expression" dxfId="872" priority="43">
      <formula>OR($D25="nul-dag")</formula>
    </cfRule>
    <cfRule type="expression" dxfId="871" priority="44">
      <formula>OR($D25="SH-dag")</formula>
    </cfRule>
    <cfRule type="expression" dxfId="870" priority="45">
      <formula>OR($D25="ekskursion")</formula>
    </cfRule>
    <cfRule type="expression" dxfId="869" priority="46">
      <formula>OR($D25="lejrskole")</formula>
    </cfRule>
    <cfRule type="expression" dxfId="868" priority="47">
      <formula>OR($D25="emnedag")</formula>
    </cfRule>
    <cfRule type="expression" dxfId="867" priority="48">
      <formula>OR($D25="fagdag")</formula>
    </cfRule>
  </conditionalFormatting>
  <conditionalFormatting sqref="I15:J45">
    <cfRule type="expression" dxfId="866" priority="25">
      <formula>OR($C15="Koloni",)</formula>
    </cfRule>
    <cfRule type="expression" dxfId="865" priority="15">
      <formula>OR($C15="Ferieåbning",)</formula>
    </cfRule>
    <cfRule type="expression" dxfId="864" priority="14">
      <formula>OR($C15="Anderledes dag",)</formula>
    </cfRule>
    <cfRule type="expression" dxfId="863" priority="13">
      <formula>OR($C15="Ekskursion",)</formula>
    </cfRule>
  </conditionalFormatting>
  <conditionalFormatting sqref="J15:J45">
    <cfRule type="expression" dxfId="862" priority="26">
      <formula>OR($C15="Pæd.dag",)</formula>
    </cfRule>
  </conditionalFormatting>
  <conditionalFormatting sqref="M15:M45">
    <cfRule type="expression" dxfId="861" priority="53">
      <formula>OR($H15&gt;"0",)</formula>
    </cfRule>
  </conditionalFormatting>
  <conditionalFormatting sqref="O15:O45">
    <cfRule type="expression" dxfId="859" priority="8">
      <formula>OR($N15&gt;0,)</formula>
    </cfRule>
  </conditionalFormatting>
  <conditionalFormatting sqref="S15:S45">
    <cfRule type="expression" dxfId="858" priority="24">
      <formula>OR($P15="X",)</formula>
    </cfRule>
  </conditionalFormatting>
  <conditionalFormatting sqref="T15:T45">
    <cfRule type="expression" dxfId="857" priority="23">
      <formula>OR($Q15="X",)</formula>
    </cfRule>
  </conditionalFormatting>
  <conditionalFormatting sqref="T53:T56">
    <cfRule type="expression" dxfId="856" priority="5">
      <formula>OR($L53&gt;0,)</formula>
    </cfRule>
  </conditionalFormatting>
  <conditionalFormatting sqref="U15:U45">
    <cfRule type="expression" dxfId="855" priority="22">
      <formula>OR($R15="X",)</formula>
    </cfRule>
  </conditionalFormatting>
  <conditionalFormatting sqref="U53:U54 U56">
    <cfRule type="expression" dxfId="854" priority="10">
      <formula>OR($M53&gt;0,)</formula>
    </cfRule>
  </conditionalFormatting>
  <conditionalFormatting sqref="U55:W55">
    <cfRule type="expression" dxfId="853" priority="6">
      <formula>OR($M55&gt;0,)</formula>
    </cfRule>
  </conditionalFormatting>
  <conditionalFormatting sqref="BN54 BN56:BN57 BR58">
    <cfRule type="expression" dxfId="852" priority="54">
      <formula>OR(#REF!&gt;0,)</formula>
    </cfRule>
  </conditionalFormatting>
  <conditionalFormatting sqref="BP55">
    <cfRule type="expression" dxfId="851" priority="7">
      <formula>OR(#REF!&gt;0,)</formula>
    </cfRule>
  </conditionalFormatting>
  <dataValidations count="3">
    <dataValidation type="list" allowBlank="1" showInputMessage="1" sqref="C15:C45" xr:uid="{03116517-CE3F-1F4F-8E4B-1E28E7AFB604}">
      <formula1>$A$60:$A$82</formula1>
    </dataValidation>
    <dataValidation type="list" allowBlank="1" showInputMessage="1" showErrorMessage="1" sqref="R15:R43 P15:Q45 L53:M54 L56:M56" xr:uid="{B2E76717-1171-9344-A320-AC1153D76619}">
      <formula1>$Y$1:$Y$2</formula1>
    </dataValidation>
    <dataValidation type="list" allowBlank="1" showInputMessage="1" showErrorMessage="1" sqref="L55:M55" xr:uid="{E75A6199-7ACF-724A-9CCB-F2F1A7B1365E}">
      <formula1>$AA$1:$AA$2</formula1>
    </dataValidation>
  </dataValidations>
  <hyperlinks>
    <hyperlink ref="A5:B5" location="'Normal uger'!A11" display="Normale uger" xr:uid="{28440EE0-D587-3A46-B780-E7CFD14CB38B}"/>
    <hyperlink ref="C5:D5" location="Rul!B20" display="Rul" xr:uid="{B2E6BDB8-E363-764A-8888-FE87EE381414}"/>
    <hyperlink ref="E5:F5" location="Arbejdstidsoversigt!A19" display="Arbejdstids-oversigt" xr:uid="{B15C5E5A-7368-2248-8174-A6A33DBA0449}"/>
    <hyperlink ref="G5:H5" location="Opgørelse!B12" display="Opgørelse" xr:uid="{C25E75F5-FFB1-C74C-8D98-A3C92745CA0A}"/>
    <hyperlink ref="A6:B6" location="August!A12" display="August" xr:uid="{B00B7B96-456A-0249-A9A1-51E1D7E4CA31}"/>
    <hyperlink ref="C6:D6" location="September!A8" display="September" xr:uid="{BDC351F1-A21B-C14C-A718-04C0F19D3DC8}"/>
    <hyperlink ref="E6:F6" location="Oktober!A8" display="Oktober" xr:uid="{1E7527EA-F656-A44B-BEF1-BDEB5B7D2EC6}"/>
    <hyperlink ref="G6:H6" location="November!A8" display="November" xr:uid="{A723E9FE-F141-F544-9632-B4E6AAEBE486}"/>
    <hyperlink ref="A7:B7" location="December!A8" display="December" xr:uid="{9B50DA99-CA8E-1340-B78A-CF3BF792BAE1}"/>
    <hyperlink ref="C7:D7" location="Januar!A8" display="Januar" xr:uid="{ABCA0E4F-FEC7-7549-AC89-025A9640E880}"/>
    <hyperlink ref="E7:F7" location="Februar!A8" display="Februar" xr:uid="{9D1D0463-C35F-F94C-AED3-393D145E5E8A}"/>
    <hyperlink ref="A8:B8" location="April!A8" display="April" xr:uid="{B08E2CE2-5181-E345-984F-C7375B7A91C5}"/>
    <hyperlink ref="C8:D8" location="Maj!A8" display="Maj" xr:uid="{8033475B-BA76-1645-9B02-CF49FE3C0589}"/>
    <hyperlink ref="E8:F8" location="Juni!A8" display="Juni" xr:uid="{23FC8CD9-17AB-7042-98C6-ED483FC9301F}"/>
    <hyperlink ref="G8:H8" location="Juli!A8" display="Juli" xr:uid="{7C299079-9B61-3D44-9BFA-A32CBE585CEB}"/>
    <hyperlink ref="G7:H7" location="Marts!A8" display="Marts" xr:uid="{A04DC01E-C8D4-3C4E-A529-D83D067C2C24}"/>
    <hyperlink ref="I5:J5" location="Stamoplysninger!E18" display="Stamoplysninger" xr:uid="{CC5F3A88-064A-034A-B8FD-9A3E6A483E1E}"/>
  </hyperlink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300D688C-E4EC-D44D-AA19-127D7D11124C}">
            <xm:f>OR(Arbejdstidsoversigt!$H$54="Puljetimer registreres ikke men afvikles jævnt hen over normperioden",)</xm:f>
            <x14:dxf>
              <fill>
                <patternFill>
                  <bgColor theme="1"/>
                </patternFill>
              </fill>
            </x14:dxf>
          </x14:cfRule>
          <xm:sqref>N15:N45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S98"/>
  <sheetViews>
    <sheetView zoomScaleNormal="100" workbookViewId="0">
      <selection activeCell="B34" sqref="B34:J36"/>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hidden="1" customWidth="1"/>
    <col min="12" max="12" width="12.1640625" hidden="1" customWidth="1"/>
    <col min="13" max="17" width="12.6640625" hidden="1" customWidth="1"/>
    <col min="18" max="18" width="22.83203125" hidden="1" customWidth="1"/>
    <col min="19" max="19" width="30.5" hidden="1"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4" ht="37" customHeight="1">
      <c r="A1" s="711"/>
      <c r="B1" s="711"/>
      <c r="C1" s="746" t="s">
        <v>390</v>
      </c>
      <c r="D1" s="746"/>
      <c r="E1" s="746"/>
      <c r="F1" s="746"/>
      <c r="G1" s="746"/>
      <c r="H1" s="746"/>
      <c r="I1" s="746"/>
      <c r="J1" s="746"/>
      <c r="K1" s="211"/>
      <c r="L1" s="211"/>
    </row>
    <row r="2" spans="1:14" ht="65" customHeight="1">
      <c r="A2" s="711"/>
      <c r="B2" s="711"/>
      <c r="C2" s="1065" t="s">
        <v>391</v>
      </c>
      <c r="D2" s="1065"/>
      <c r="E2" s="1065"/>
      <c r="F2" s="1065"/>
      <c r="G2" s="1065"/>
      <c r="H2" s="1065"/>
      <c r="I2" s="1065"/>
      <c r="J2" s="1065"/>
      <c r="K2" s="210"/>
      <c r="L2" s="210"/>
    </row>
    <row r="3" spans="1:14" ht="54" customHeight="1">
      <c r="A3" s="711"/>
      <c r="B3" s="711"/>
      <c r="C3" s="1065" t="s">
        <v>392</v>
      </c>
      <c r="D3" s="1065"/>
      <c r="E3" s="1065"/>
      <c r="F3" s="1065"/>
      <c r="G3" s="1065"/>
      <c r="H3" s="1065"/>
      <c r="I3" s="1065"/>
      <c r="J3" s="1065"/>
      <c r="K3" s="210"/>
      <c r="L3" s="210"/>
    </row>
    <row r="4" spans="1:14" ht="189" customHeight="1">
      <c r="A4" s="711"/>
      <c r="B4" s="711"/>
      <c r="C4" s="1066" t="s">
        <v>393</v>
      </c>
      <c r="D4" s="1065"/>
      <c r="E4" s="1065"/>
      <c r="F4" s="1065"/>
      <c r="G4" s="1065"/>
      <c r="H4" s="1065"/>
      <c r="I4" s="1065"/>
      <c r="J4" s="1065"/>
      <c r="K4" s="210"/>
      <c r="L4" s="210"/>
    </row>
    <row r="5" spans="1:14" ht="29" customHeight="1">
      <c r="A5" s="711"/>
      <c r="B5" s="711"/>
      <c r="C5" s="1066" t="s">
        <v>394</v>
      </c>
      <c r="D5" s="1065"/>
      <c r="E5" s="1065"/>
      <c r="F5" s="1065"/>
      <c r="G5" s="1065"/>
      <c r="H5" s="1065"/>
      <c r="I5" s="1065"/>
      <c r="J5" s="1065"/>
      <c r="K5" s="210"/>
      <c r="L5" s="210"/>
    </row>
    <row r="6" spans="1:14" s="6" customFormat="1" ht="24" customHeight="1">
      <c r="A6" s="711"/>
      <c r="B6" s="711"/>
      <c r="C6" s="1067"/>
      <c r="D6" s="1067"/>
      <c r="E6" s="1067"/>
      <c r="F6" s="1067"/>
      <c r="G6" s="1067"/>
      <c r="H6" s="1067"/>
      <c r="I6" s="1067"/>
      <c r="J6" s="1067"/>
      <c r="K6" s="278"/>
      <c r="L6" s="278"/>
    </row>
    <row r="7" spans="1:14" s="6" customFormat="1" ht="42" customHeight="1" thickBot="1">
      <c r="A7" s="735" t="s">
        <v>496</v>
      </c>
      <c r="B7" s="735"/>
      <c r="C7" s="735"/>
      <c r="D7" s="735"/>
      <c r="E7" s="735"/>
      <c r="F7" s="735"/>
      <c r="G7" s="735"/>
      <c r="H7" s="735"/>
      <c r="I7" s="700"/>
      <c r="J7" s="700"/>
      <c r="K7" s="278"/>
      <c r="L7" s="278"/>
    </row>
    <row r="8" spans="1:14" s="6" customFormat="1" ht="26" customHeight="1" thickBot="1">
      <c r="A8" s="984" t="s">
        <v>469</v>
      </c>
      <c r="B8" s="984"/>
      <c r="C8" s="985" t="s">
        <v>493</v>
      </c>
      <c r="D8" s="985"/>
      <c r="E8" s="986" t="s">
        <v>492</v>
      </c>
      <c r="F8" s="986"/>
      <c r="G8" s="987" t="s">
        <v>161</v>
      </c>
      <c r="H8" s="987"/>
      <c r="I8" s="700"/>
      <c r="J8" s="700"/>
      <c r="K8" s="278"/>
      <c r="L8" s="278"/>
    </row>
    <row r="9" spans="1:14" s="6" customFormat="1" ht="26" customHeight="1" thickBot="1">
      <c r="A9" s="730" t="s">
        <v>117</v>
      </c>
      <c r="B9" s="730"/>
      <c r="C9" s="730" t="s">
        <v>119</v>
      </c>
      <c r="D9" s="730"/>
      <c r="E9" s="730" t="s">
        <v>120</v>
      </c>
      <c r="F9" s="730"/>
      <c r="G9" s="730" t="s">
        <v>121</v>
      </c>
      <c r="H9" s="730"/>
      <c r="I9" s="700"/>
      <c r="J9" s="700"/>
      <c r="K9" s="278"/>
      <c r="L9" s="278"/>
    </row>
    <row r="10" spans="1:14" s="6" customFormat="1" ht="26" customHeight="1" thickBot="1">
      <c r="A10" s="730" t="s">
        <v>130</v>
      </c>
      <c r="B10" s="730"/>
      <c r="C10" s="730" t="s">
        <v>131</v>
      </c>
      <c r="D10" s="730"/>
      <c r="E10" s="730" t="s">
        <v>132</v>
      </c>
      <c r="F10" s="730"/>
      <c r="G10" s="730" t="s">
        <v>133</v>
      </c>
      <c r="H10" s="730"/>
      <c r="I10" s="700"/>
      <c r="J10" s="700"/>
      <c r="K10" s="278"/>
      <c r="L10" s="278"/>
    </row>
    <row r="11" spans="1:14" s="6" customFormat="1" ht="26" customHeight="1" thickBot="1">
      <c r="A11" s="730" t="s">
        <v>134</v>
      </c>
      <c r="B11" s="730"/>
      <c r="C11" s="730" t="s">
        <v>135</v>
      </c>
      <c r="D11" s="730"/>
      <c r="E11" s="730" t="s">
        <v>136</v>
      </c>
      <c r="F11" s="730"/>
      <c r="G11" s="730" t="s">
        <v>137</v>
      </c>
      <c r="H11" s="730"/>
      <c r="I11" s="700"/>
      <c r="J11" s="700"/>
      <c r="K11" s="278"/>
      <c r="L11" s="278"/>
    </row>
    <row r="12" spans="1:14" ht="39" customHeight="1">
      <c r="A12" s="1015">
        <v>1</v>
      </c>
      <c r="B12" s="1019" t="s">
        <v>23</v>
      </c>
      <c r="C12" s="1020"/>
      <c r="D12" s="1020"/>
      <c r="E12" s="1020"/>
      <c r="F12" s="1020"/>
      <c r="G12" s="1020"/>
      <c r="H12" s="1020"/>
      <c r="I12" s="1020"/>
      <c r="J12" s="1021"/>
    </row>
    <row r="13" spans="1:14" ht="20" customHeight="1">
      <c r="A13" s="1016"/>
      <c r="B13" s="1022" t="str">
        <f>"Der er for perioden: "&amp;Stamoplysninger!E17&amp;" - "&amp;Stamoplysninger!G17&amp;" planlagt følgende arbejdstid:"</f>
        <v>Der er for perioden:  -  planlagt følgende arbejdstid:</v>
      </c>
      <c r="C13" s="1023"/>
      <c r="D13" s="1023"/>
      <c r="E13" s="1023"/>
      <c r="F13" s="1023"/>
      <c r="G13" s="1023"/>
      <c r="H13" s="1023"/>
      <c r="I13" s="1023"/>
      <c r="J13" s="1024"/>
      <c r="K13" s="604">
        <v>261</v>
      </c>
      <c r="L13" t="s">
        <v>266</v>
      </c>
    </row>
    <row r="14" spans="1:14" ht="26" customHeight="1">
      <c r="A14" s="1016"/>
      <c r="B14" s="1012" t="str">
        <f>IF(Stamoplysninger!E14&gt;0,Stamoplysninger!E14,"")</f>
        <v/>
      </c>
      <c r="C14" s="1013"/>
      <c r="D14" s="1013"/>
      <c r="E14" s="1013"/>
      <c r="F14" s="1013"/>
      <c r="G14" s="1013"/>
      <c r="H14" s="1013"/>
      <c r="I14" s="1013"/>
      <c r="J14" s="1014"/>
      <c r="K14" t="s">
        <v>213</v>
      </c>
      <c r="L14" s="980">
        <f>IF(Stamoplysninger!$E$18="3F",Arbejdstidsoversigt!$G$16*7.4*Stamoplysninger!$E$21,0)</f>
        <v>0</v>
      </c>
      <c r="M14" s="981"/>
      <c r="N14">
        <f>IF(Stamoplysninger!E18="3F",Arbejdstidsoversigt!L14,0)</f>
        <v>0</v>
      </c>
    </row>
    <row r="15" spans="1:14" ht="32" customHeight="1">
      <c r="A15" s="1016"/>
      <c r="B15" s="1062"/>
      <c r="C15" s="1063"/>
      <c r="D15" s="1063"/>
      <c r="E15" s="1063"/>
      <c r="F15" s="1064"/>
      <c r="G15" s="1018" t="s">
        <v>9</v>
      </c>
      <c r="H15" s="1018"/>
      <c r="I15" s="363" t="s">
        <v>27</v>
      </c>
      <c r="J15" s="364"/>
      <c r="K15" t="s">
        <v>489</v>
      </c>
      <c r="L15" s="980">
        <f>IF(AND(Stamoplysninger!$E$18="BUPL/FOA",Stamoplysninger!$E$19="ja"),1924/$K$13*$G$16*Stamoplysninger!$E$21,Arbejdstidsoversigt!$G$16*7.4*Stamoplysninger!$E$21)</f>
        <v>0</v>
      </c>
      <c r="M15" s="981"/>
      <c r="N15">
        <f>IF(Stamoplysninger!E18="BUPL/FOA",Arbejdstidsoversigt!L15,0)</f>
        <v>0</v>
      </c>
    </row>
    <row r="16" spans="1:14" ht="32" customHeight="1">
      <c r="A16" s="1016"/>
      <c r="B16" s="1030" t="s">
        <v>112</v>
      </c>
      <c r="C16" s="1031"/>
      <c r="D16" s="1031"/>
      <c r="E16" s="1031"/>
      <c r="F16" s="1032"/>
      <c r="G16" s="1027">
        <f>August!H54+September!H48+Oktober!H49+November!H48+December!H49+Januar!H49+Februar!H47+Marts!H49+April!H48+Maj!H49+Juni!H48+Juli!H49</f>
        <v>261</v>
      </c>
      <c r="H16" s="1027"/>
      <c r="I16" s="1025">
        <f>N19</f>
        <v>0</v>
      </c>
      <c r="J16" s="1026"/>
      <c r="K16" s="419" t="s">
        <v>212</v>
      </c>
      <c r="L16" s="980">
        <f>IF(AND(Stamoplysninger!$E$18="HK",Stamoplysninger!$E$19="ja"),1924/$K$13*$G$16*Stamoplysninger!$E$21,Arbejdstidsoversigt!$G$16*7.4*Stamoplysninger!$E$21)</f>
        <v>0</v>
      </c>
      <c r="M16" s="981"/>
      <c r="N16">
        <f>IF(Stamoplysninger!E18="HK",Arbejdstidsoversigt!L16,0)</f>
        <v>0</v>
      </c>
    </row>
    <row r="17" spans="1:14" ht="32" customHeight="1">
      <c r="A17" s="1016"/>
      <c r="B17" s="1033" t="s">
        <v>281</v>
      </c>
      <c r="C17" s="1034"/>
      <c r="D17" s="1034"/>
      <c r="E17" s="1034"/>
      <c r="F17" s="1035"/>
      <c r="G17" s="1027">
        <f>August!D87+September!D81+Oktober!D82+November!D81+December!D82+Januar!D82+Februar!D80+Marts!D82+April!D81+Maj!D82+Juni!D81+Juli!D82</f>
        <v>8</v>
      </c>
      <c r="H17" s="1027"/>
      <c r="I17" s="1025">
        <f>IF(Stamoplysninger!E18="ikke omfattet af overenskomst",0,G17*7.4*Stamoplysninger!E21)</f>
        <v>0</v>
      </c>
      <c r="J17" s="1026"/>
      <c r="K17" s="982" t="s">
        <v>491</v>
      </c>
      <c r="L17" s="983"/>
      <c r="M17">
        <f>IF(AND(Stamoplysninger!$E$18="ikke omfattet af overenskomst - ansat med en fast årsnorm",Stamoplysninger!$E$19="ja"),Stamoplysninger!$E$20*Stamoplysninger!E21+IF(G18&lt;&gt;25,(25-G18)*7.4*Stamoplysninger!E21),Stamoplysninger!E20/228*Arbejdstidsoversigt!G19*Stamoplysninger!E21)</f>
        <v>0</v>
      </c>
      <c r="N17">
        <f>IF(Stamoplysninger!E18="Ikke omfattet af overenskomst - ansat med en fast årsnorm",Arbejdstidsoversigt!M17,0)</f>
        <v>0</v>
      </c>
    </row>
    <row r="18" spans="1:14" ht="32" customHeight="1" thickBot="1">
      <c r="A18" s="1016"/>
      <c r="B18" s="1036" t="s">
        <v>282</v>
      </c>
      <c r="C18" s="1037"/>
      <c r="D18" s="1037"/>
      <c r="E18" s="1037"/>
      <c r="F18" s="1038"/>
      <c r="G18" s="1056">
        <f>August!D82+September!D76+Oktober!D77+November!D76+December!D77+Januar!D77+Februar!D75+Marts!D77+April!D76+Maj!D77+Juni!D76+Juli!D77</f>
        <v>0</v>
      </c>
      <c r="H18" s="1056"/>
      <c r="I18" s="1058">
        <f>IF(Stamoplysninger!E18="ikke omfattet af overenskomst",0,G18*Stamoplysninger!E21*7.4)</f>
        <v>0</v>
      </c>
      <c r="J18" s="1059"/>
      <c r="K18" t="s">
        <v>490</v>
      </c>
      <c r="M18">
        <f>IF(Stamoplysninger!$E$18="Ikke omfattet af overenskomst - ansat med en variabel årsnorm",Arbejdstidsoversigt!$G$16*7.4*Stamoplysninger!$E$21,0)</f>
        <v>0</v>
      </c>
      <c r="N18">
        <f>IF(Stamoplysninger!E18="Ikke omfattet af overenskomst - ansat med en variabel årsnorm",Arbejdstidsoversigt!M18,0)</f>
        <v>0</v>
      </c>
    </row>
    <row r="19" spans="1:14" ht="32" customHeight="1" thickTop="1" thickBot="1">
      <c r="A19" s="1017"/>
      <c r="B19" s="1039" t="s">
        <v>23</v>
      </c>
      <c r="C19" s="1040"/>
      <c r="D19" s="1040"/>
      <c r="E19" s="1040"/>
      <c r="F19" s="1041"/>
      <c r="G19" s="1057">
        <f>G16-G17-G18</f>
        <v>253</v>
      </c>
      <c r="H19" s="1057"/>
      <c r="I19" s="1060">
        <f>IF(Stamoplysninger!E18="ikke omfattet af overenskomst - ansat med en fast årsnorm",Arbejdstidsoversigt!I16,I16-I17-I18)</f>
        <v>0</v>
      </c>
      <c r="J19" s="1061"/>
      <c r="K19" t="s">
        <v>247</v>
      </c>
      <c r="N19">
        <f>SUM(N14:N18)</f>
        <v>0</v>
      </c>
    </row>
    <row r="20" spans="1:14" ht="32" customHeight="1" thickBot="1">
      <c r="A20" s="626"/>
      <c r="B20" s="1046" t="s">
        <v>402</v>
      </c>
      <c r="C20" s="1047"/>
      <c r="D20" s="1047"/>
      <c r="E20" s="1047"/>
      <c r="F20" s="1048"/>
      <c r="G20" s="1045"/>
      <c r="H20" s="1045"/>
      <c r="I20" s="1049"/>
      <c r="J20" s="1050"/>
    </row>
    <row r="21" spans="1:14" ht="16" customHeight="1" thickBot="1">
      <c r="A21" s="997"/>
      <c r="B21" s="997"/>
      <c r="C21" s="997"/>
      <c r="D21" s="997"/>
      <c r="E21" s="997"/>
      <c r="F21" s="997"/>
      <c r="G21" s="997"/>
      <c r="H21" s="997"/>
      <c r="I21" s="997"/>
      <c r="J21" s="997"/>
    </row>
    <row r="22" spans="1:14" ht="38" customHeight="1">
      <c r="A22" s="991">
        <v>2</v>
      </c>
      <c r="B22" s="1042" t="s">
        <v>149</v>
      </c>
      <c r="C22" s="1043"/>
      <c r="D22" s="1043"/>
      <c r="E22" s="1043"/>
      <c r="F22" s="1043"/>
      <c r="G22" s="1043"/>
      <c r="H22" s="1043"/>
      <c r="I22" s="1043"/>
      <c r="J22" s="1044"/>
    </row>
    <row r="23" spans="1:14" ht="32" customHeight="1">
      <c r="A23" s="992"/>
      <c r="B23" s="1053" t="s">
        <v>150</v>
      </c>
      <c r="C23" s="1054"/>
      <c r="D23" s="1054"/>
      <c r="E23" s="1054"/>
      <c r="F23" s="1054"/>
      <c r="G23" s="1054"/>
      <c r="H23" s="1054"/>
      <c r="I23" s="1055"/>
      <c r="J23" s="418" t="s">
        <v>27</v>
      </c>
    </row>
    <row r="24" spans="1:14" ht="17" customHeight="1">
      <c r="A24" s="992"/>
      <c r="B24" s="1068" t="s">
        <v>53</v>
      </c>
      <c r="C24" s="1069"/>
      <c r="D24" s="1069"/>
      <c r="E24" s="1069"/>
      <c r="F24" s="1069"/>
      <c r="G24" s="1069"/>
      <c r="H24" s="1069"/>
      <c r="I24" s="1070"/>
      <c r="J24" s="404">
        <f>I19</f>
        <v>0</v>
      </c>
    </row>
    <row r="25" spans="1:14" ht="17" customHeight="1">
      <c r="A25" s="992"/>
      <c r="B25" s="1071" t="s">
        <v>243</v>
      </c>
      <c r="C25" s="1072"/>
      <c r="D25" s="1072"/>
      <c r="E25" s="1072"/>
      <c r="F25" s="1072"/>
      <c r="G25" s="1072"/>
      <c r="H25" s="1072"/>
      <c r="I25" s="1073"/>
      <c r="J25" s="212">
        <f>August!K51+September!K45+Oktober!K46+November!K45+December!K46+Januar!K46+Februar!K44+Marts!K46+April!K45+Maj!K46+Juni!K45+Juli!K46-J28</f>
        <v>0</v>
      </c>
    </row>
    <row r="26" spans="1:14" ht="17" customHeight="1">
      <c r="A26" s="992"/>
      <c r="B26" s="1071" t="s">
        <v>244</v>
      </c>
      <c r="C26" s="1072"/>
      <c r="D26" s="1072"/>
      <c r="E26" s="1072"/>
      <c r="F26" s="1072"/>
      <c r="G26" s="1072"/>
      <c r="H26" s="1072"/>
      <c r="I26" s="1073"/>
      <c r="J26" s="212">
        <f>August!L51+September!L45+Oktober!L46+November!L45+December!L46+Januar!L46+Februar!L44+Marts!L46+April!L45+Maj!L46+Juni!L45+Juli!L46</f>
        <v>0</v>
      </c>
    </row>
    <row r="27" spans="1:14" ht="17" customHeight="1">
      <c r="A27" s="992"/>
      <c r="B27" s="1071" t="s">
        <v>245</v>
      </c>
      <c r="C27" s="1072"/>
      <c r="D27" s="1072"/>
      <c r="E27" s="1072"/>
      <c r="F27" s="1072"/>
      <c r="G27" s="1072"/>
      <c r="H27" s="1072"/>
      <c r="I27" s="1073"/>
      <c r="J27" s="212">
        <f>August!M51+September!M45+Oktober!M46+November!M45+December!M46+Januar!M46+Februar!M44+Marts!M46+April!M45+Maj!M46+Juni!M45+Juli!M46-August!J64-September!J60-Oktober!J60-November!J60-December!J60-Januar!J60-Februar!J60-Marts!J60-April!J59-Maj!J60-Juni!J60-Juli!J60</f>
        <v>0</v>
      </c>
    </row>
    <row r="28" spans="1:14" ht="17" customHeight="1">
      <c r="A28" s="992"/>
      <c r="B28" s="282" t="s">
        <v>177</v>
      </c>
      <c r="C28" s="261"/>
      <c r="D28" s="261"/>
      <c r="E28" s="261"/>
      <c r="F28" s="261"/>
      <c r="G28" s="261"/>
      <c r="H28" s="261"/>
      <c r="I28" s="262"/>
      <c r="J28" s="263">
        <f>(August!D84+September!D78+Oktober!D79+November!D78+December!D79+Januar!D79+Februar!D77+Marts!D79+April!D78+Maj!D79+Juni!D78+Juli!D79)*7.4*Stamoplysninger!E21</f>
        <v>0</v>
      </c>
    </row>
    <row r="29" spans="1:14" ht="17" customHeight="1" thickBot="1">
      <c r="A29" s="992"/>
      <c r="B29" s="1071" t="s">
        <v>301</v>
      </c>
      <c r="C29" s="1072"/>
      <c r="D29" s="1072"/>
      <c r="E29" s="1072"/>
      <c r="F29" s="1072"/>
      <c r="G29" s="1072"/>
      <c r="H29" s="1072"/>
      <c r="I29" s="1073"/>
      <c r="J29" s="123">
        <f>'Normal uger'!J98</f>
        <v>0</v>
      </c>
    </row>
    <row r="30" spans="1:14" ht="41" customHeight="1" thickBot="1">
      <c r="A30" s="992"/>
      <c r="B30" s="1074" t="s">
        <v>404</v>
      </c>
      <c r="C30" s="1075"/>
      <c r="D30" s="1075"/>
      <c r="E30" s="1075"/>
      <c r="F30" s="1075"/>
      <c r="G30" s="1075"/>
      <c r="H30" s="1075"/>
      <c r="I30" s="1076"/>
      <c r="J30" s="405">
        <f>SUM(J25:J29)-J24</f>
        <v>0</v>
      </c>
    </row>
    <row r="31" spans="1:14" ht="17" customHeight="1" thickBot="1">
      <c r="A31" s="998"/>
      <c r="B31" s="999"/>
      <c r="C31" s="999"/>
      <c r="D31" s="999"/>
      <c r="E31" s="999"/>
      <c r="F31" s="999"/>
      <c r="G31" s="999"/>
      <c r="H31" s="999"/>
      <c r="I31" s="999"/>
      <c r="J31" s="999"/>
    </row>
    <row r="32" spans="1:14" ht="39" customHeight="1">
      <c r="A32" s="1007">
        <v>3</v>
      </c>
      <c r="B32" s="995" t="s">
        <v>300</v>
      </c>
      <c r="C32" s="995"/>
      <c r="D32" s="995"/>
      <c r="E32" s="995"/>
      <c r="F32" s="995"/>
      <c r="G32" s="995"/>
      <c r="H32" s="995"/>
      <c r="I32" s="995"/>
      <c r="J32" s="1006"/>
      <c r="K32" s="429"/>
    </row>
    <row r="33" spans="1:11" ht="35" customHeight="1">
      <c r="A33" s="1008"/>
      <c r="B33" s="1051" t="s">
        <v>388</v>
      </c>
      <c r="C33" s="1052"/>
      <c r="D33" s="1052"/>
      <c r="E33" s="1052"/>
      <c r="F33" s="1052"/>
      <c r="G33" s="1052"/>
      <c r="H33" s="417" t="s">
        <v>278</v>
      </c>
      <c r="I33" s="417" t="s">
        <v>279</v>
      </c>
      <c r="J33" s="421" t="s">
        <v>115</v>
      </c>
      <c r="K33" s="420"/>
    </row>
    <row r="34" spans="1:11" ht="17" customHeight="1">
      <c r="A34" s="1008"/>
      <c r="B34" s="1028"/>
      <c r="C34" s="1029"/>
      <c r="D34" s="1029"/>
      <c r="E34" s="1029"/>
      <c r="F34" s="1029"/>
      <c r="G34" s="1029"/>
      <c r="H34" s="427"/>
      <c r="I34" s="427"/>
      <c r="J34" s="428"/>
      <c r="K34" t="s">
        <v>246</v>
      </c>
    </row>
    <row r="35" spans="1:11" ht="17" customHeight="1">
      <c r="A35" s="1008"/>
      <c r="B35" s="1010"/>
      <c r="C35" s="1011"/>
      <c r="D35" s="1011"/>
      <c r="E35" s="1011"/>
      <c r="F35" s="1011"/>
      <c r="G35" s="1011"/>
      <c r="H35" s="427"/>
      <c r="I35" s="427"/>
      <c r="J35" s="428"/>
    </row>
    <row r="36" spans="1:11" ht="17" customHeight="1">
      <c r="A36" s="1008"/>
      <c r="B36" s="1010"/>
      <c r="C36" s="1011"/>
      <c r="D36" s="1011"/>
      <c r="E36" s="1011"/>
      <c r="F36" s="1011"/>
      <c r="G36" s="1011"/>
      <c r="H36" s="427"/>
      <c r="I36" s="427"/>
      <c r="J36" s="428"/>
      <c r="K36" t="s">
        <v>28</v>
      </c>
    </row>
    <row r="37" spans="1:11" ht="17" customHeight="1">
      <c r="A37" s="1008"/>
      <c r="B37" s="1010"/>
      <c r="C37" s="1011"/>
      <c r="D37" s="1011"/>
      <c r="E37" s="1011"/>
      <c r="F37" s="1011"/>
      <c r="G37" s="1011"/>
      <c r="H37" s="427"/>
      <c r="I37" s="427"/>
      <c r="J37" s="428"/>
    </row>
    <row r="38" spans="1:11" ht="17" customHeight="1">
      <c r="A38" s="1008"/>
      <c r="B38" s="1010"/>
      <c r="C38" s="1011"/>
      <c r="D38" s="1011"/>
      <c r="E38" s="1011"/>
      <c r="F38" s="1011"/>
      <c r="G38" s="1011"/>
      <c r="H38" s="427"/>
      <c r="I38" s="427"/>
      <c r="J38" s="428"/>
    </row>
    <row r="39" spans="1:11" ht="17" customHeight="1">
      <c r="A39" s="1008"/>
      <c r="B39" s="1010"/>
      <c r="C39" s="1011"/>
      <c r="D39" s="1011"/>
      <c r="E39" s="1011"/>
      <c r="F39" s="1011"/>
      <c r="G39" s="1011"/>
      <c r="H39" s="427"/>
      <c r="I39" s="427"/>
      <c r="J39" s="428"/>
    </row>
    <row r="40" spans="1:11" ht="17" customHeight="1">
      <c r="A40" s="1008"/>
      <c r="B40" s="1010"/>
      <c r="C40" s="1011"/>
      <c r="D40" s="1011"/>
      <c r="E40" s="1011"/>
      <c r="F40" s="1011"/>
      <c r="G40" s="1011"/>
      <c r="H40" s="427"/>
      <c r="I40" s="427"/>
      <c r="J40" s="428"/>
    </row>
    <row r="41" spans="1:11" ht="17" customHeight="1">
      <c r="A41" s="1008"/>
      <c r="B41" s="1010"/>
      <c r="C41" s="1011"/>
      <c r="D41" s="1011"/>
      <c r="E41" s="1011"/>
      <c r="F41" s="1011"/>
      <c r="G41" s="1011"/>
      <c r="H41" s="427"/>
      <c r="I41" s="427"/>
      <c r="J41" s="428"/>
    </row>
    <row r="42" spans="1:11" ht="17" customHeight="1">
      <c r="A42" s="1008"/>
      <c r="B42" s="1010"/>
      <c r="C42" s="1011"/>
      <c r="D42" s="1011"/>
      <c r="E42" s="1011"/>
      <c r="F42" s="1011"/>
      <c r="G42" s="1011"/>
      <c r="H42" s="427"/>
      <c r="I42" s="427"/>
      <c r="J42" s="428"/>
    </row>
    <row r="43" spans="1:11" ht="17" customHeight="1">
      <c r="A43" s="1008"/>
      <c r="B43" s="1010"/>
      <c r="C43" s="1011"/>
      <c r="D43" s="1011"/>
      <c r="E43" s="1011"/>
      <c r="F43" s="1011"/>
      <c r="G43" s="1011"/>
      <c r="H43" s="427"/>
      <c r="I43" s="427"/>
      <c r="J43" s="428"/>
    </row>
    <row r="44" spans="1:11" ht="17" customHeight="1">
      <c r="A44" s="1008"/>
      <c r="B44" s="1010"/>
      <c r="C44" s="1011"/>
      <c r="D44" s="1011"/>
      <c r="E44" s="1011"/>
      <c r="F44" s="1011"/>
      <c r="G44" s="1011"/>
      <c r="H44" s="427"/>
      <c r="I44" s="427"/>
      <c r="J44" s="428"/>
    </row>
    <row r="45" spans="1:11" ht="17" customHeight="1">
      <c r="A45" s="1008"/>
      <c r="B45" s="1010"/>
      <c r="C45" s="1011"/>
      <c r="D45" s="1011"/>
      <c r="E45" s="1011"/>
      <c r="F45" s="1011"/>
      <c r="G45" s="1011"/>
      <c r="H45" s="427"/>
      <c r="I45" s="427"/>
      <c r="J45" s="428"/>
    </row>
    <row r="46" spans="1:11" ht="17" customHeight="1">
      <c r="A46" s="1008"/>
      <c r="B46" s="1010"/>
      <c r="C46" s="1011"/>
      <c r="D46" s="1011"/>
      <c r="E46" s="1011"/>
      <c r="F46" s="1011"/>
      <c r="G46" s="1011"/>
      <c r="H46" s="427"/>
      <c r="I46" s="427"/>
      <c r="J46" s="428"/>
    </row>
    <row r="47" spans="1:11" ht="17" customHeight="1">
      <c r="A47" s="1008"/>
      <c r="B47" s="1010"/>
      <c r="C47" s="1011"/>
      <c r="D47" s="1011"/>
      <c r="E47" s="1011"/>
      <c r="F47" s="1011"/>
      <c r="G47" s="1011"/>
      <c r="H47" s="427"/>
      <c r="I47" s="427"/>
      <c r="J47" s="428"/>
    </row>
    <row r="48" spans="1:11" ht="17" customHeight="1">
      <c r="A48" s="1008"/>
      <c r="B48" s="1010"/>
      <c r="C48" s="1011"/>
      <c r="D48" s="1011"/>
      <c r="E48" s="1011"/>
      <c r="F48" s="1011"/>
      <c r="G48" s="1011"/>
      <c r="H48" s="427"/>
      <c r="I48" s="427"/>
      <c r="J48" s="428"/>
    </row>
    <row r="49" spans="1:11" ht="17" customHeight="1">
      <c r="A49" s="1008"/>
      <c r="B49" s="1010"/>
      <c r="C49" s="1011"/>
      <c r="D49" s="1011"/>
      <c r="E49" s="1011"/>
      <c r="F49" s="1011"/>
      <c r="G49" s="1011"/>
      <c r="H49" s="427"/>
      <c r="I49" s="427"/>
      <c r="J49" s="428"/>
    </row>
    <row r="50" spans="1:11" ht="17" customHeight="1">
      <c r="A50" s="1008"/>
      <c r="B50" s="1010"/>
      <c r="C50" s="1011"/>
      <c r="D50" s="1011"/>
      <c r="E50" s="1011"/>
      <c r="F50" s="1011"/>
      <c r="G50" s="1011"/>
      <c r="H50" s="427"/>
      <c r="I50" s="427"/>
      <c r="J50" s="428"/>
    </row>
    <row r="51" spans="1:11" ht="17" customHeight="1">
      <c r="A51" s="1008"/>
      <c r="B51" s="1010"/>
      <c r="C51" s="1011"/>
      <c r="D51" s="1011"/>
      <c r="E51" s="1011"/>
      <c r="F51" s="1011"/>
      <c r="G51" s="1011"/>
      <c r="H51" s="427"/>
      <c r="I51" s="427"/>
      <c r="J51" s="428"/>
    </row>
    <row r="52" spans="1:11" ht="17" customHeight="1">
      <c r="A52" s="1008"/>
      <c r="B52" s="1010"/>
      <c r="C52" s="1011"/>
      <c r="D52" s="1011"/>
      <c r="E52" s="1011"/>
      <c r="F52" s="1011"/>
      <c r="G52" s="1011"/>
      <c r="H52" s="427"/>
      <c r="I52" s="427"/>
      <c r="J52" s="428"/>
    </row>
    <row r="53" spans="1:11" ht="58" customHeight="1" thickBot="1">
      <c r="A53" s="1008"/>
      <c r="B53" s="1077" t="s">
        <v>403</v>
      </c>
      <c r="C53" s="1077"/>
      <c r="D53" s="1077"/>
      <c r="E53" s="1077"/>
      <c r="F53" s="1077"/>
      <c r="G53" s="1077"/>
      <c r="H53" s="1077"/>
      <c r="I53" s="1078"/>
      <c r="J53" s="426">
        <f>J30+SUM(J34:J52)</f>
        <v>0</v>
      </c>
      <c r="K53" s="62"/>
    </row>
    <row r="54" spans="1:11" ht="34" customHeight="1" thickBot="1">
      <c r="A54" s="1008"/>
      <c r="B54" s="1084" t="s">
        <v>383</v>
      </c>
      <c r="C54" s="1085"/>
      <c r="D54" s="1085"/>
      <c r="E54" s="1085"/>
      <c r="F54" s="1085"/>
      <c r="G54" s="1086"/>
      <c r="H54" s="1081" t="s">
        <v>385</v>
      </c>
      <c r="I54" s="1082"/>
      <c r="J54" s="1083"/>
    </row>
    <row r="55" spans="1:11" ht="28" customHeight="1">
      <c r="A55" s="1008"/>
      <c r="B55" s="1079" t="s">
        <v>387</v>
      </c>
      <c r="C55" s="1079"/>
      <c r="D55" s="1079"/>
      <c r="E55" s="1079"/>
      <c r="F55" s="1079"/>
      <c r="G55" s="1079"/>
      <c r="H55" s="1079"/>
      <c r="I55" s="1080"/>
      <c r="J55" s="208" t="e">
        <f>IF(H54="Puljetimer registreres i månedskalendere",August!I60+September!I54+Oktober!I55+November!I54+December!I55+Januar!I55+Februar!I53+Marts!I55+April!I54+Maj!I55+Juni!I54+Juli!I55,SUM(J34:J52)/G20*G19)</f>
        <v>#DIV/0!</v>
      </c>
      <c r="K55" t="s">
        <v>384</v>
      </c>
    </row>
    <row r="56" spans="1:11" ht="80" customHeight="1" thickBot="1">
      <c r="A56" s="1009"/>
      <c r="B56" s="1077" t="s">
        <v>405</v>
      </c>
      <c r="C56" s="1077"/>
      <c r="D56" s="1077"/>
      <c r="E56" s="1077"/>
      <c r="F56" s="1077"/>
      <c r="G56" s="1077"/>
      <c r="H56" s="1077"/>
      <c r="I56" s="1078"/>
      <c r="J56" s="426" t="e">
        <f>J55+J30</f>
        <v>#DIV/0!</v>
      </c>
      <c r="K56" t="s">
        <v>385</v>
      </c>
    </row>
    <row r="57" spans="1:11" ht="17" customHeight="1" thickBot="1">
      <c r="A57" s="1000"/>
      <c r="B57" s="1000"/>
      <c r="C57" s="1000"/>
      <c r="D57" s="1000"/>
      <c r="E57" s="1000"/>
      <c r="F57" s="1000"/>
      <c r="G57" s="1000"/>
      <c r="H57" s="1000"/>
      <c r="I57" s="1000"/>
      <c r="J57" s="1000"/>
    </row>
    <row r="58" spans="1:11" ht="39" customHeight="1">
      <c r="A58" s="991">
        <v>4</v>
      </c>
      <c r="B58" s="994" t="s">
        <v>139</v>
      </c>
      <c r="C58" s="995"/>
      <c r="D58" s="995"/>
      <c r="E58" s="995"/>
      <c r="F58" s="995"/>
      <c r="G58" s="996"/>
      <c r="H58" s="1087" t="s">
        <v>302</v>
      </c>
      <c r="I58" s="1087"/>
      <c r="J58" s="424" t="s">
        <v>115</v>
      </c>
    </row>
    <row r="59" spans="1:11">
      <c r="A59" s="992"/>
      <c r="B59" s="1002" t="str">
        <f>IF('Normal uger'!A58&gt;0,'Normal uger'!A58,"")</f>
        <v/>
      </c>
      <c r="C59" s="1003"/>
      <c r="D59" s="1003"/>
      <c r="E59" s="1003"/>
      <c r="F59" s="1003"/>
      <c r="G59" s="1004"/>
      <c r="H59" s="1005" t="str">
        <f>IF('Normal uger'!H58&gt;0,'Normal uger'!H58,"")</f>
        <v/>
      </c>
      <c r="I59" s="1004"/>
      <c r="J59" s="423" t="str">
        <f>IF('Normal uger'!J58&gt;0,'Normal uger'!J58,"")</f>
        <v/>
      </c>
    </row>
    <row r="60" spans="1:11">
      <c r="A60" s="992"/>
      <c r="B60" s="1002" t="str">
        <f>IF('Normal uger'!A59&gt;0,'Normal uger'!A59,"")</f>
        <v/>
      </c>
      <c r="C60" s="1003"/>
      <c r="D60" s="1003"/>
      <c r="E60" s="1003"/>
      <c r="F60" s="1003"/>
      <c r="G60" s="1004"/>
      <c r="H60" s="1005" t="str">
        <f>IF('Normal uger'!H59&gt;0,'Normal uger'!H59,"")</f>
        <v/>
      </c>
      <c r="I60" s="1004"/>
      <c r="J60" s="423" t="str">
        <f>IF('Normal uger'!J59&gt;0,'Normal uger'!J59,"")</f>
        <v/>
      </c>
    </row>
    <row r="61" spans="1:11">
      <c r="A61" s="992"/>
      <c r="B61" s="1002" t="str">
        <f>IF('Normal uger'!A60&gt;0,'Normal uger'!A60,"")</f>
        <v/>
      </c>
      <c r="C61" s="1003"/>
      <c r="D61" s="1003"/>
      <c r="E61" s="1003"/>
      <c r="F61" s="1003"/>
      <c r="G61" s="1004"/>
      <c r="H61" s="1005" t="str">
        <f>IF('Normal uger'!H60&gt;0,'Normal uger'!H60,"")</f>
        <v/>
      </c>
      <c r="I61" s="1004"/>
      <c r="J61" s="423" t="str">
        <f>IF('Normal uger'!J60&gt;0,'Normal uger'!J60,"")</f>
        <v/>
      </c>
    </row>
    <row r="62" spans="1:11">
      <c r="A62" s="992"/>
      <c r="B62" s="1002" t="str">
        <f>IF('Normal uger'!A61&gt;0,'Normal uger'!A61,"")</f>
        <v/>
      </c>
      <c r="C62" s="1003"/>
      <c r="D62" s="1003"/>
      <c r="E62" s="1003"/>
      <c r="F62" s="1003"/>
      <c r="G62" s="1004"/>
      <c r="H62" s="1005" t="str">
        <f>IF('Normal uger'!H61&gt;0,'Normal uger'!H61,"")</f>
        <v/>
      </c>
      <c r="I62" s="1004"/>
      <c r="J62" s="423" t="str">
        <f>IF('Normal uger'!J61&gt;0,'Normal uger'!J61,"")</f>
        <v/>
      </c>
    </row>
    <row r="63" spans="1:11">
      <c r="A63" s="992"/>
      <c r="B63" s="1002" t="str">
        <f>IF('Normal uger'!A62&gt;0,'Normal uger'!A62,"")</f>
        <v/>
      </c>
      <c r="C63" s="1003"/>
      <c r="D63" s="1003"/>
      <c r="E63" s="1003"/>
      <c r="F63" s="1003"/>
      <c r="G63" s="1004"/>
      <c r="H63" s="1005" t="str">
        <f>IF('Normal uger'!H62&gt;0,'Normal uger'!H62,"")</f>
        <v/>
      </c>
      <c r="I63" s="1004"/>
      <c r="J63" s="423" t="str">
        <f>IF('Normal uger'!J62&gt;0,'Normal uger'!J62,"")</f>
        <v/>
      </c>
    </row>
    <row r="64" spans="1:11">
      <c r="A64" s="992"/>
      <c r="B64" s="1002" t="str">
        <f>IF('Normal uger'!A63&gt;0,'Normal uger'!A63,"")</f>
        <v/>
      </c>
      <c r="C64" s="1003"/>
      <c r="D64" s="1003"/>
      <c r="E64" s="1003"/>
      <c r="F64" s="1003"/>
      <c r="G64" s="1004"/>
      <c r="H64" s="1005" t="str">
        <f>IF('Normal uger'!H63&gt;0,'Normal uger'!H63,"")</f>
        <v/>
      </c>
      <c r="I64" s="1004"/>
      <c r="J64" s="423" t="str">
        <f>IF('Normal uger'!J63&gt;0,'Normal uger'!J63,"")</f>
        <v/>
      </c>
    </row>
    <row r="65" spans="1:10">
      <c r="A65" s="992"/>
      <c r="B65" s="1002" t="str">
        <f>IF('Normal uger'!A64&gt;0,'Normal uger'!A64,"")</f>
        <v/>
      </c>
      <c r="C65" s="1003"/>
      <c r="D65" s="1003"/>
      <c r="E65" s="1003"/>
      <c r="F65" s="1003"/>
      <c r="G65" s="1004"/>
      <c r="H65" s="1005" t="str">
        <f>IF('Normal uger'!H64&gt;0,'Normal uger'!H64,"")</f>
        <v/>
      </c>
      <c r="I65" s="1004"/>
      <c r="J65" s="423" t="str">
        <f>IF('Normal uger'!J64&gt;0,'Normal uger'!J64,"")</f>
        <v/>
      </c>
    </row>
    <row r="66" spans="1:10">
      <c r="A66" s="992"/>
      <c r="B66" s="1002" t="str">
        <f>IF('Normal uger'!A65&gt;0,'Normal uger'!A65,"")</f>
        <v/>
      </c>
      <c r="C66" s="1003"/>
      <c r="D66" s="1003"/>
      <c r="E66" s="1003"/>
      <c r="F66" s="1003"/>
      <c r="G66" s="1004"/>
      <c r="H66" s="1005" t="str">
        <f>IF('Normal uger'!H65&gt;0,'Normal uger'!H65,"")</f>
        <v/>
      </c>
      <c r="I66" s="1004"/>
      <c r="J66" s="423" t="str">
        <f>IF('Normal uger'!J65&gt;0,'Normal uger'!J65,"")</f>
        <v/>
      </c>
    </row>
    <row r="67" spans="1:10">
      <c r="A67" s="992"/>
      <c r="B67" s="1002" t="str">
        <f>IF('Normal uger'!A66&gt;0,'Normal uger'!A66,"")</f>
        <v/>
      </c>
      <c r="C67" s="1003"/>
      <c r="D67" s="1003"/>
      <c r="E67" s="1003"/>
      <c r="F67" s="1003"/>
      <c r="G67" s="1004"/>
      <c r="H67" s="1005" t="str">
        <f>IF('Normal uger'!H66&gt;0,'Normal uger'!H66,"")</f>
        <v/>
      </c>
      <c r="I67" s="1004"/>
      <c r="J67" s="423" t="str">
        <f>IF('Normal uger'!J66&gt;0,'Normal uger'!J66,"")</f>
        <v/>
      </c>
    </row>
    <row r="68" spans="1:10">
      <c r="A68" s="992"/>
      <c r="B68" s="1002" t="str">
        <f>IF('Normal uger'!A67&gt;0,'Normal uger'!A67,"")</f>
        <v/>
      </c>
      <c r="C68" s="1003"/>
      <c r="D68" s="1003"/>
      <c r="E68" s="1003"/>
      <c r="F68" s="1003"/>
      <c r="G68" s="1004"/>
      <c r="H68" s="1005" t="str">
        <f>IF('Normal uger'!H67&gt;0,'Normal uger'!H67,"")</f>
        <v/>
      </c>
      <c r="I68" s="1004"/>
      <c r="J68" s="423" t="str">
        <f>IF('Normal uger'!J67&gt;0,'Normal uger'!J67,"")</f>
        <v/>
      </c>
    </row>
    <row r="69" spans="1:10">
      <c r="A69" s="992"/>
      <c r="B69" s="1002" t="str">
        <f>IF('Normal uger'!A68&gt;0,'Normal uger'!A68,"")</f>
        <v/>
      </c>
      <c r="C69" s="1003"/>
      <c r="D69" s="1003"/>
      <c r="E69" s="1003"/>
      <c r="F69" s="1003"/>
      <c r="G69" s="1004"/>
      <c r="H69" s="1005" t="str">
        <f>IF('Normal uger'!H68&gt;0,'Normal uger'!H68,"")</f>
        <v/>
      </c>
      <c r="I69" s="1004"/>
      <c r="J69" s="423" t="str">
        <f>IF('Normal uger'!J68&gt;0,'Normal uger'!J68,"")</f>
        <v/>
      </c>
    </row>
    <row r="70" spans="1:10">
      <c r="A70" s="992"/>
      <c r="B70" s="1002" t="str">
        <f>IF('Normal uger'!A69&gt;0,'Normal uger'!A69,"")</f>
        <v/>
      </c>
      <c r="C70" s="1003"/>
      <c r="D70" s="1003"/>
      <c r="E70" s="1003"/>
      <c r="F70" s="1003"/>
      <c r="G70" s="1004"/>
      <c r="H70" s="1005" t="str">
        <f>IF('Normal uger'!H69&gt;0,'Normal uger'!H69,"")</f>
        <v/>
      </c>
      <c r="I70" s="1004"/>
      <c r="J70" s="423" t="str">
        <f>IF('Normal uger'!J69&gt;0,'Normal uger'!J69,"")</f>
        <v/>
      </c>
    </row>
    <row r="71" spans="1:10">
      <c r="A71" s="992"/>
      <c r="B71" s="1002" t="str">
        <f>IF('Normal uger'!A70&gt;0,'Normal uger'!A70,"")</f>
        <v/>
      </c>
      <c r="C71" s="1003"/>
      <c r="D71" s="1003"/>
      <c r="E71" s="1003"/>
      <c r="F71" s="1003"/>
      <c r="G71" s="1004"/>
      <c r="H71" s="1005" t="str">
        <f>IF('Normal uger'!H70&gt;0,'Normal uger'!H70,"")</f>
        <v/>
      </c>
      <c r="I71" s="1004"/>
      <c r="J71" s="423" t="str">
        <f>IF('Normal uger'!J70&gt;0,'Normal uger'!J70,"")</f>
        <v/>
      </c>
    </row>
    <row r="72" spans="1:10">
      <c r="A72" s="992"/>
      <c r="B72" s="1002" t="str">
        <f>IF('Normal uger'!A71&gt;0,'Normal uger'!A71,"")</f>
        <v/>
      </c>
      <c r="C72" s="1003"/>
      <c r="D72" s="1003"/>
      <c r="E72" s="1003"/>
      <c r="F72" s="1003"/>
      <c r="G72" s="1004"/>
      <c r="H72" s="1005" t="str">
        <f>IF('Normal uger'!H71&gt;0,'Normal uger'!H71,"")</f>
        <v/>
      </c>
      <c r="I72" s="1004"/>
      <c r="J72" s="423" t="str">
        <f>IF('Normal uger'!J71&gt;0,'Normal uger'!J71,"")</f>
        <v/>
      </c>
    </row>
    <row r="73" spans="1:10">
      <c r="A73" s="992"/>
      <c r="B73" s="1002" t="str">
        <f>IF('Normal uger'!A72&gt;0,'Normal uger'!A72,"")</f>
        <v/>
      </c>
      <c r="C73" s="1003"/>
      <c r="D73" s="1003"/>
      <c r="E73" s="1003"/>
      <c r="F73" s="1003"/>
      <c r="G73" s="1004"/>
      <c r="H73" s="1005" t="str">
        <f>IF('Normal uger'!H72&gt;0,'Normal uger'!H72,"")</f>
        <v/>
      </c>
      <c r="I73" s="1004"/>
      <c r="J73" s="423" t="str">
        <f>IF('Normal uger'!J72&gt;0,'Normal uger'!J72,"")</f>
        <v/>
      </c>
    </row>
    <row r="74" spans="1:10">
      <c r="A74" s="992"/>
      <c r="B74" s="1002" t="str">
        <f>IF('Normal uger'!A73&gt;0,'Normal uger'!A73,"")</f>
        <v/>
      </c>
      <c r="C74" s="1003"/>
      <c r="D74" s="1003"/>
      <c r="E74" s="1003"/>
      <c r="F74" s="1003"/>
      <c r="G74" s="1004"/>
      <c r="H74" s="1005" t="str">
        <f>IF('Normal uger'!H73&gt;0,'Normal uger'!H73,"")</f>
        <v/>
      </c>
      <c r="I74" s="1004"/>
      <c r="J74" s="423" t="str">
        <f>IF('Normal uger'!J73&gt;0,'Normal uger'!J73,"")</f>
        <v/>
      </c>
    </row>
    <row r="75" spans="1:10">
      <c r="A75" s="992"/>
      <c r="B75" s="1002" t="str">
        <f>IF('Normal uger'!A74&gt;0,'Normal uger'!A74,"")</f>
        <v/>
      </c>
      <c r="C75" s="1003"/>
      <c r="D75" s="1003"/>
      <c r="E75" s="1003"/>
      <c r="F75" s="1003"/>
      <c r="G75" s="1004"/>
      <c r="H75" s="1005" t="str">
        <f>IF('Normal uger'!H74&gt;0,'Normal uger'!H74,"")</f>
        <v/>
      </c>
      <c r="I75" s="1004"/>
      <c r="J75" s="423" t="str">
        <f>IF('Normal uger'!J74&gt;0,'Normal uger'!J74,"")</f>
        <v/>
      </c>
    </row>
    <row r="76" spans="1:10">
      <c r="A76" s="992"/>
      <c r="B76" s="1002" t="str">
        <f>IF('Normal uger'!A75&gt;0,'Normal uger'!A75,"")</f>
        <v/>
      </c>
      <c r="C76" s="1003"/>
      <c r="D76" s="1003"/>
      <c r="E76" s="1003"/>
      <c r="F76" s="1003"/>
      <c r="G76" s="1004"/>
      <c r="H76" s="1005" t="str">
        <f>IF('Normal uger'!H75&gt;0,'Normal uger'!H75,"")</f>
        <v/>
      </c>
      <c r="I76" s="1004"/>
      <c r="J76" s="423" t="str">
        <f>IF('Normal uger'!J75&gt;0,'Normal uger'!J75,"")</f>
        <v/>
      </c>
    </row>
    <row r="77" spans="1:10">
      <c r="A77" s="992"/>
      <c r="B77" s="1002" t="str">
        <f>IF('Normal uger'!A76&gt;0,'Normal uger'!A76,"")</f>
        <v/>
      </c>
      <c r="C77" s="1003"/>
      <c r="D77" s="1003"/>
      <c r="E77" s="1003"/>
      <c r="F77" s="1003"/>
      <c r="G77" s="1004"/>
      <c r="H77" s="1005" t="str">
        <f>IF('Normal uger'!H76&gt;0,'Normal uger'!H76,"")</f>
        <v/>
      </c>
      <c r="I77" s="1004"/>
      <c r="J77" s="423" t="str">
        <f>IF('Normal uger'!J76&gt;0,'Normal uger'!J76,"")</f>
        <v/>
      </c>
    </row>
    <row r="78" spans="1:10">
      <c r="A78" s="992"/>
      <c r="B78" s="1002" t="str">
        <f>IF('Normal uger'!A77&gt;0,'Normal uger'!A77,"")</f>
        <v/>
      </c>
      <c r="C78" s="1003"/>
      <c r="D78" s="1003"/>
      <c r="E78" s="1003"/>
      <c r="F78" s="1003"/>
      <c r="G78" s="1004"/>
      <c r="H78" s="1005" t="str">
        <f>IF('Normal uger'!H77&gt;0,'Normal uger'!H77,"")</f>
        <v/>
      </c>
      <c r="I78" s="1004"/>
      <c r="J78" s="423" t="str">
        <f>IF('Normal uger'!J77&gt;0,'Normal uger'!J77,"")</f>
        <v/>
      </c>
    </row>
    <row r="79" spans="1:10">
      <c r="A79" s="992"/>
      <c r="B79" s="1002" t="str">
        <f>IF('Normal uger'!A78&gt;0,'Normal uger'!A78,"")</f>
        <v/>
      </c>
      <c r="C79" s="1003"/>
      <c r="D79" s="1003"/>
      <c r="E79" s="1003"/>
      <c r="F79" s="1003"/>
      <c r="G79" s="1004"/>
      <c r="H79" s="1005" t="str">
        <f>IF('Normal uger'!H78&gt;0,'Normal uger'!H78,"")</f>
        <v/>
      </c>
      <c r="I79" s="1004"/>
      <c r="J79" s="423" t="str">
        <f>IF('Normal uger'!J78&gt;0,'Normal uger'!J78,"")</f>
        <v/>
      </c>
    </row>
    <row r="80" spans="1:10">
      <c r="A80" s="992"/>
      <c r="B80" s="1002" t="str">
        <f>IF('Normal uger'!A79&gt;0,'Normal uger'!A79,"")</f>
        <v/>
      </c>
      <c r="C80" s="1003"/>
      <c r="D80" s="1003"/>
      <c r="E80" s="1003"/>
      <c r="F80" s="1003"/>
      <c r="G80" s="1004"/>
      <c r="H80" s="1005" t="str">
        <f>IF('Normal uger'!H79&gt;0,'Normal uger'!H79,"")</f>
        <v/>
      </c>
      <c r="I80" s="1004"/>
      <c r="J80" s="423" t="str">
        <f>IF('Normal uger'!J79&gt;0,'Normal uger'!J79,"")</f>
        <v/>
      </c>
    </row>
    <row r="81" spans="1:10">
      <c r="A81" s="992"/>
      <c r="B81" s="1002" t="str">
        <f>IF('Normal uger'!A80&gt;0,'Normal uger'!A80,"")</f>
        <v/>
      </c>
      <c r="C81" s="1003"/>
      <c r="D81" s="1003"/>
      <c r="E81" s="1003"/>
      <c r="F81" s="1003"/>
      <c r="G81" s="1004"/>
      <c r="H81" s="1005" t="str">
        <f>IF('Normal uger'!H80&gt;0,'Normal uger'!H80,"")</f>
        <v/>
      </c>
      <c r="I81" s="1004"/>
      <c r="J81" s="423" t="str">
        <f>IF('Normal uger'!J80&gt;0,'Normal uger'!J80,"")</f>
        <v/>
      </c>
    </row>
    <row r="82" spans="1:10">
      <c r="A82" s="992"/>
      <c r="B82" s="1002" t="str">
        <f>IF('Normal uger'!A81&gt;0,'Normal uger'!A81,"")</f>
        <v/>
      </c>
      <c r="C82" s="1003"/>
      <c r="D82" s="1003"/>
      <c r="E82" s="1003"/>
      <c r="F82" s="1003"/>
      <c r="G82" s="1004"/>
      <c r="H82" s="1005" t="str">
        <f>IF('Normal uger'!H81&gt;0,'Normal uger'!H81,"")</f>
        <v/>
      </c>
      <c r="I82" s="1004"/>
      <c r="J82" s="423" t="str">
        <f>IF('Normal uger'!J81&gt;0,'Normal uger'!J81,"")</f>
        <v/>
      </c>
    </row>
    <row r="83" spans="1:10">
      <c r="A83" s="992"/>
      <c r="B83" s="1002" t="str">
        <f>IF('Normal uger'!A82&gt;0,'Normal uger'!A82,"")</f>
        <v/>
      </c>
      <c r="C83" s="1003"/>
      <c r="D83" s="1003"/>
      <c r="E83" s="1003"/>
      <c r="F83" s="1003"/>
      <c r="G83" s="1004"/>
      <c r="H83" s="1005" t="str">
        <f>IF('Normal uger'!H82&gt;0,'Normal uger'!H82,"")</f>
        <v/>
      </c>
      <c r="I83" s="1004"/>
      <c r="J83" s="423" t="str">
        <f>IF('Normal uger'!J82&gt;0,'Normal uger'!J82,"")</f>
        <v/>
      </c>
    </row>
    <row r="84" spans="1:10">
      <c r="A84" s="992"/>
      <c r="B84" s="1002" t="str">
        <f>IF('Normal uger'!A83&gt;0,'Normal uger'!A83,"")</f>
        <v/>
      </c>
      <c r="C84" s="1003"/>
      <c r="D84" s="1003"/>
      <c r="E84" s="1003"/>
      <c r="F84" s="1003"/>
      <c r="G84" s="1004"/>
      <c r="H84" s="1005" t="str">
        <f>IF('Normal uger'!H83&gt;0,'Normal uger'!H83,"")</f>
        <v/>
      </c>
      <c r="I84" s="1004"/>
      <c r="J84" s="423" t="str">
        <f>IF('Normal uger'!J83&gt;0,'Normal uger'!J83,"")</f>
        <v/>
      </c>
    </row>
    <row r="85" spans="1:10">
      <c r="A85" s="992"/>
      <c r="B85" s="1002" t="str">
        <f>IF('Normal uger'!A84&gt;0,'Normal uger'!A84,"")</f>
        <v/>
      </c>
      <c r="C85" s="1003"/>
      <c r="D85" s="1003"/>
      <c r="E85" s="1003"/>
      <c r="F85" s="1003"/>
      <c r="G85" s="1004"/>
      <c r="H85" s="1005" t="str">
        <f>IF('Normal uger'!H84&gt;0,'Normal uger'!H84,"")</f>
        <v/>
      </c>
      <c r="I85" s="1004"/>
      <c r="J85" s="423" t="str">
        <f>IF('Normal uger'!J84&gt;0,'Normal uger'!J84,"")</f>
        <v/>
      </c>
    </row>
    <row r="86" spans="1:10">
      <c r="A86" s="992"/>
      <c r="B86" s="1002" t="str">
        <f>IF('Normal uger'!A85&gt;0,'Normal uger'!A85,"")</f>
        <v/>
      </c>
      <c r="C86" s="1003"/>
      <c r="D86" s="1003"/>
      <c r="E86" s="1003"/>
      <c r="F86" s="1003"/>
      <c r="G86" s="1004"/>
      <c r="H86" s="1005" t="str">
        <f>IF('Normal uger'!H85&gt;0,'Normal uger'!H85,"")</f>
        <v/>
      </c>
      <c r="I86" s="1004"/>
      <c r="J86" s="423" t="str">
        <f>IF('Normal uger'!J85&gt;0,'Normal uger'!J85,"")</f>
        <v/>
      </c>
    </row>
    <row r="87" spans="1:10">
      <c r="A87" s="992"/>
      <c r="B87" s="1002" t="str">
        <f>IF('Normal uger'!A86&gt;0,'Normal uger'!A86,"")</f>
        <v/>
      </c>
      <c r="C87" s="1003"/>
      <c r="D87" s="1003"/>
      <c r="E87" s="1003"/>
      <c r="F87" s="1003"/>
      <c r="G87" s="1004"/>
      <c r="H87" s="1005" t="str">
        <f>IF('Normal uger'!H86&gt;0,'Normal uger'!H86,"")</f>
        <v/>
      </c>
      <c r="I87" s="1004"/>
      <c r="J87" s="423" t="str">
        <f>IF('Normal uger'!J86&gt;0,'Normal uger'!J86,"")</f>
        <v/>
      </c>
    </row>
    <row r="88" spans="1:10">
      <c r="A88" s="992"/>
      <c r="B88" s="1002" t="str">
        <f>IF('Normal uger'!A87&gt;0,'Normal uger'!A87,"")</f>
        <v/>
      </c>
      <c r="C88" s="1003"/>
      <c r="D88" s="1003"/>
      <c r="E88" s="1003"/>
      <c r="F88" s="1003"/>
      <c r="G88" s="1004"/>
      <c r="H88" s="1005" t="str">
        <f>IF('Normal uger'!H87&gt;0,'Normal uger'!H87,"")</f>
        <v/>
      </c>
      <c r="I88" s="1004"/>
      <c r="J88" s="423" t="str">
        <f>IF('Normal uger'!J87&gt;0,'Normal uger'!J87,"")</f>
        <v/>
      </c>
    </row>
    <row r="89" spans="1:10">
      <c r="A89" s="992"/>
      <c r="B89" s="1002" t="str">
        <f>IF('Normal uger'!A88&gt;0,'Normal uger'!A88,"")</f>
        <v/>
      </c>
      <c r="C89" s="1003"/>
      <c r="D89" s="1003"/>
      <c r="E89" s="1003"/>
      <c r="F89" s="1003"/>
      <c r="G89" s="1004"/>
      <c r="H89" s="1005" t="str">
        <f>IF('Normal uger'!H88&gt;0,'Normal uger'!H88,"")</f>
        <v/>
      </c>
      <c r="I89" s="1004"/>
      <c r="J89" s="423" t="str">
        <f>IF('Normal uger'!J88&gt;0,'Normal uger'!J88,"")</f>
        <v/>
      </c>
    </row>
    <row r="90" spans="1:10">
      <c r="A90" s="992"/>
      <c r="B90" s="1002" t="str">
        <f>IF('Normal uger'!A89&gt;0,'Normal uger'!A89,"")</f>
        <v/>
      </c>
      <c r="C90" s="1003"/>
      <c r="D90" s="1003"/>
      <c r="E90" s="1003"/>
      <c r="F90" s="1003"/>
      <c r="G90" s="1004"/>
      <c r="H90" s="1005" t="str">
        <f>IF('Normal uger'!H89&gt;0,'Normal uger'!H89,"")</f>
        <v/>
      </c>
      <c r="I90" s="1004"/>
      <c r="J90" s="423" t="str">
        <f>IF('Normal uger'!J89&gt;0,'Normal uger'!J89,"")</f>
        <v/>
      </c>
    </row>
    <row r="91" spans="1:10">
      <c r="A91" s="992"/>
      <c r="B91" s="1002" t="str">
        <f>IF('Normal uger'!A90&gt;0,'Normal uger'!A90,"")</f>
        <v/>
      </c>
      <c r="C91" s="1003"/>
      <c r="D91" s="1003"/>
      <c r="E91" s="1003"/>
      <c r="F91" s="1003"/>
      <c r="G91" s="1004"/>
      <c r="H91" s="1005" t="str">
        <f>IF('Normal uger'!H90&gt;0,'Normal uger'!H90,"")</f>
        <v/>
      </c>
      <c r="I91" s="1004"/>
      <c r="J91" s="423" t="str">
        <f>IF('Normal uger'!J90&gt;0,'Normal uger'!J90,"")</f>
        <v/>
      </c>
    </row>
    <row r="92" spans="1:10">
      <c r="A92" s="992"/>
      <c r="B92" s="1002" t="str">
        <f>IF('Normal uger'!A91&gt;0,'Normal uger'!A91,"")</f>
        <v/>
      </c>
      <c r="C92" s="1003"/>
      <c r="D92" s="1003"/>
      <c r="E92" s="1003"/>
      <c r="F92" s="1003"/>
      <c r="G92" s="1004"/>
      <c r="H92" s="1005" t="str">
        <f>IF('Normal uger'!H91&gt;0,'Normal uger'!H91,"")</f>
        <v/>
      </c>
      <c r="I92" s="1004"/>
      <c r="J92" s="423" t="str">
        <f>IF('Normal uger'!J91&gt;0,'Normal uger'!J91,"")</f>
        <v/>
      </c>
    </row>
    <row r="93" spans="1:10">
      <c r="A93" s="992"/>
      <c r="B93" s="1002" t="str">
        <f>IF('Normal uger'!A92&gt;0,'Normal uger'!A92,"")</f>
        <v/>
      </c>
      <c r="C93" s="1003"/>
      <c r="D93" s="1003"/>
      <c r="E93" s="1003"/>
      <c r="F93" s="1003"/>
      <c r="G93" s="1004"/>
      <c r="H93" s="1005" t="str">
        <f>IF('Normal uger'!H92&gt;0,'Normal uger'!H92,"")</f>
        <v/>
      </c>
      <c r="I93" s="1004"/>
      <c r="J93" s="423" t="str">
        <f>IF('Normal uger'!J92&gt;0,'Normal uger'!J92,"")</f>
        <v/>
      </c>
    </row>
    <row r="94" spans="1:10">
      <c r="A94" s="992"/>
      <c r="B94" s="1002" t="str">
        <f>IF('Normal uger'!A93&gt;0,'Normal uger'!A93,"")</f>
        <v/>
      </c>
      <c r="C94" s="1003"/>
      <c r="D94" s="1003"/>
      <c r="E94" s="1003"/>
      <c r="F94" s="1003"/>
      <c r="G94" s="1004"/>
      <c r="H94" s="1005" t="str">
        <f>IF('Normal uger'!H93&gt;0,'Normal uger'!H93,"")</f>
        <v/>
      </c>
      <c r="I94" s="1004"/>
      <c r="J94" s="423" t="str">
        <f>IF('Normal uger'!J93&gt;0,'Normal uger'!J93,"")</f>
        <v/>
      </c>
    </row>
    <row r="95" spans="1:10">
      <c r="A95" s="992"/>
      <c r="B95" s="1002" t="str">
        <f>IF('Normal uger'!A94&gt;0,'Normal uger'!A94,"")</f>
        <v/>
      </c>
      <c r="C95" s="1003"/>
      <c r="D95" s="1003"/>
      <c r="E95" s="1003"/>
      <c r="F95" s="1003"/>
      <c r="G95" s="1004"/>
      <c r="H95" s="1005" t="str">
        <f>IF('Normal uger'!H94&gt;0,'Normal uger'!H94,"")</f>
        <v/>
      </c>
      <c r="I95" s="1004"/>
      <c r="J95" s="423" t="str">
        <f>IF('Normal uger'!J94&gt;0,'Normal uger'!J94,"")</f>
        <v/>
      </c>
    </row>
    <row r="96" spans="1:10">
      <c r="A96" s="992"/>
      <c r="B96" s="1002" t="str">
        <f>IF('Normal uger'!A95&gt;0,'Normal uger'!A95,"")</f>
        <v/>
      </c>
      <c r="C96" s="1003"/>
      <c r="D96" s="1003"/>
      <c r="E96" s="1003"/>
      <c r="F96" s="1003"/>
      <c r="G96" s="1004"/>
      <c r="H96" s="1005" t="str">
        <f>IF('Normal uger'!H95&gt;0,'Normal uger'!H95,"")</f>
        <v/>
      </c>
      <c r="I96" s="1004"/>
      <c r="J96" s="423" t="str">
        <f>IF('Normal uger'!J95&gt;0,'Normal uger'!J95,"")</f>
        <v/>
      </c>
    </row>
    <row r="97" spans="1:10">
      <c r="A97" s="992"/>
      <c r="B97" s="1002" t="str">
        <f>IF('Normal uger'!A96&gt;0,'Normal uger'!A96,"")</f>
        <v/>
      </c>
      <c r="C97" s="1003"/>
      <c r="D97" s="1003"/>
      <c r="E97" s="1003"/>
      <c r="F97" s="1003"/>
      <c r="G97" s="1004"/>
      <c r="H97" s="1005" t="str">
        <f>IF('Normal uger'!H96&gt;0,'Normal uger'!H96,"")</f>
        <v/>
      </c>
      <c r="I97" s="1004"/>
      <c r="J97" s="423" t="str">
        <f>IF('Normal uger'!J96&gt;0,'Normal uger'!J96,"")</f>
        <v/>
      </c>
    </row>
    <row r="98" spans="1:10" ht="17" thickBot="1">
      <c r="A98" s="993"/>
      <c r="B98" s="988" t="str">
        <f>IF('Normal uger'!A97&gt;0,'Normal uger'!A97,"")</f>
        <v/>
      </c>
      <c r="C98" s="989"/>
      <c r="D98" s="989"/>
      <c r="E98" s="989"/>
      <c r="F98" s="989"/>
      <c r="G98" s="990"/>
      <c r="H98" s="1001" t="str">
        <f>IF('Normal uger'!H97&gt;0,'Normal uger'!H97,"")</f>
        <v/>
      </c>
      <c r="I98" s="990"/>
      <c r="J98" s="425" t="str">
        <f>IF('Normal uger'!J97&gt;0,'Normal uger'!J97,"")</f>
        <v/>
      </c>
    </row>
  </sheetData>
  <sheetProtection sheet="1" formatCells="0" formatColumns="0" formatRows="0"/>
  <dataConsolidate/>
  <mergeCells count="171">
    <mergeCell ref="B75:G75"/>
    <mergeCell ref="B76:G76"/>
    <mergeCell ref="B77:G77"/>
    <mergeCell ref="B78:G78"/>
    <mergeCell ref="B79:G79"/>
    <mergeCell ref="B80:G80"/>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B65:G65"/>
    <mergeCell ref="B70:G70"/>
    <mergeCell ref="B71:G71"/>
    <mergeCell ref="B72:G72"/>
    <mergeCell ref="B73:G73"/>
    <mergeCell ref="B56:I56"/>
    <mergeCell ref="H58:I58"/>
    <mergeCell ref="H59:I59"/>
    <mergeCell ref="H60:I60"/>
    <mergeCell ref="B74:G74"/>
    <mergeCell ref="B30:I30"/>
    <mergeCell ref="B53:I53"/>
    <mergeCell ref="B55:I55"/>
    <mergeCell ref="H54:J54"/>
    <mergeCell ref="B54:G54"/>
    <mergeCell ref="B66:G66"/>
    <mergeCell ref="B67:G67"/>
    <mergeCell ref="B68:G68"/>
    <mergeCell ref="B69:G69"/>
    <mergeCell ref="C2:J2"/>
    <mergeCell ref="C3:J3"/>
    <mergeCell ref="C4:J4"/>
    <mergeCell ref="C6:J6"/>
    <mergeCell ref="C5:J5"/>
    <mergeCell ref="B24:I24"/>
    <mergeCell ref="B25:I25"/>
    <mergeCell ref="B26:I26"/>
    <mergeCell ref="B27:I27"/>
    <mergeCell ref="B34:G34"/>
    <mergeCell ref="B35:G35"/>
    <mergeCell ref="B36:G36"/>
    <mergeCell ref="B37:G37"/>
    <mergeCell ref="B38:G38"/>
    <mergeCell ref="B39:G39"/>
    <mergeCell ref="B40:G40"/>
    <mergeCell ref="B41:G41"/>
    <mergeCell ref="B16:F16"/>
    <mergeCell ref="B17:F17"/>
    <mergeCell ref="B18:F18"/>
    <mergeCell ref="B19:F19"/>
    <mergeCell ref="B22:J22"/>
    <mergeCell ref="G16:H16"/>
    <mergeCell ref="G20:H20"/>
    <mergeCell ref="B20:F20"/>
    <mergeCell ref="I20:J20"/>
    <mergeCell ref="B33:G33"/>
    <mergeCell ref="B23:I23"/>
    <mergeCell ref="G18:H18"/>
    <mergeCell ref="G19:H19"/>
    <mergeCell ref="I18:J18"/>
    <mergeCell ref="I19:J19"/>
    <mergeCell ref="B29:I29"/>
    <mergeCell ref="A22:A30"/>
    <mergeCell ref="A1:B6"/>
    <mergeCell ref="B32:J32"/>
    <mergeCell ref="A32:A56"/>
    <mergeCell ref="B48:G48"/>
    <mergeCell ref="B49:G49"/>
    <mergeCell ref="B50:G50"/>
    <mergeCell ref="B51:G51"/>
    <mergeCell ref="B52:G52"/>
    <mergeCell ref="B42:G42"/>
    <mergeCell ref="B43:G43"/>
    <mergeCell ref="B44:G44"/>
    <mergeCell ref="B45:G45"/>
    <mergeCell ref="B46:G46"/>
    <mergeCell ref="B47:G47"/>
    <mergeCell ref="B14:J14"/>
    <mergeCell ref="A12:A19"/>
    <mergeCell ref="G15:H15"/>
    <mergeCell ref="B12:J12"/>
    <mergeCell ref="B13:J13"/>
    <mergeCell ref="C1:J1"/>
    <mergeCell ref="I16:J16"/>
    <mergeCell ref="I17:J17"/>
    <mergeCell ref="G17:H17"/>
    <mergeCell ref="H83:I83"/>
    <mergeCell ref="H84:I84"/>
    <mergeCell ref="H85:I85"/>
    <mergeCell ref="H64:I64"/>
    <mergeCell ref="H81:I81"/>
    <mergeCell ref="H82:I82"/>
    <mergeCell ref="H61:I61"/>
    <mergeCell ref="H62:I62"/>
    <mergeCell ref="H63:I63"/>
    <mergeCell ref="H89:I89"/>
    <mergeCell ref="H90:I90"/>
    <mergeCell ref="H91:I91"/>
    <mergeCell ref="B89:G89"/>
    <mergeCell ref="B90:G90"/>
    <mergeCell ref="B91:G91"/>
    <mergeCell ref="H86:I86"/>
    <mergeCell ref="H87:I87"/>
    <mergeCell ref="H88:I88"/>
    <mergeCell ref="B95:G95"/>
    <mergeCell ref="B96:G96"/>
    <mergeCell ref="B97:G97"/>
    <mergeCell ref="H92:I92"/>
    <mergeCell ref="H93:I93"/>
    <mergeCell ref="H94:I94"/>
    <mergeCell ref="B92:G92"/>
    <mergeCell ref="B93:G93"/>
    <mergeCell ref="B94:G94"/>
    <mergeCell ref="B98:G98"/>
    <mergeCell ref="A58:A98"/>
    <mergeCell ref="B58:G58"/>
    <mergeCell ref="A21:J21"/>
    <mergeCell ref="A31:J31"/>
    <mergeCell ref="A57:J57"/>
    <mergeCell ref="H98:I98"/>
    <mergeCell ref="B59:G59"/>
    <mergeCell ref="B60:G60"/>
    <mergeCell ref="B61:G61"/>
    <mergeCell ref="B62:G62"/>
    <mergeCell ref="B63:G63"/>
    <mergeCell ref="B64:G64"/>
    <mergeCell ref="B81:G81"/>
    <mergeCell ref="B82:G82"/>
    <mergeCell ref="B83:G83"/>
    <mergeCell ref="B84:G84"/>
    <mergeCell ref="B85:G85"/>
    <mergeCell ref="B86:G86"/>
    <mergeCell ref="B87:G87"/>
    <mergeCell ref="B88:G88"/>
    <mergeCell ref="H95:I95"/>
    <mergeCell ref="H96:I96"/>
    <mergeCell ref="H97:I97"/>
    <mergeCell ref="L15:M15"/>
    <mergeCell ref="L14:M14"/>
    <mergeCell ref="K17:L17"/>
    <mergeCell ref="A7:H7"/>
    <mergeCell ref="A8:B8"/>
    <mergeCell ref="C8:D8"/>
    <mergeCell ref="E8:F8"/>
    <mergeCell ref="G8:H8"/>
    <mergeCell ref="A9:B9"/>
    <mergeCell ref="C9:D9"/>
    <mergeCell ref="E9:F9"/>
    <mergeCell ref="G9:H9"/>
    <mergeCell ref="A10:B10"/>
    <mergeCell ref="C10:D10"/>
    <mergeCell ref="E10:F10"/>
    <mergeCell ref="G10:H10"/>
    <mergeCell ref="A11:B11"/>
    <mergeCell ref="C11:D11"/>
    <mergeCell ref="E11:F11"/>
    <mergeCell ref="G11:H11"/>
    <mergeCell ref="L16:M16"/>
    <mergeCell ref="B15:F15"/>
  </mergeCells>
  <phoneticPr fontId="4" type="noConversion"/>
  <conditionalFormatting sqref="H34:J52">
    <cfRule type="expression" dxfId="850" priority="1">
      <formula>OR($B34&gt;0,)</formula>
    </cfRule>
  </conditionalFormatting>
  <dataValidations count="2">
    <dataValidation type="list" allowBlank="1" showInputMessage="1" showErrorMessage="1" sqref="H34:I52" xr:uid="{EE9439B5-5D80-F944-8C2A-7C4682608FFC}">
      <formula1>$K$35:$K$36</formula1>
    </dataValidation>
    <dataValidation type="list" allowBlank="1" showInputMessage="1" showErrorMessage="1" sqref="H54:J54" xr:uid="{506ABFB3-1A4B-9D48-BC67-E564A664ED79}">
      <formula1>$K$55:$K$56</formula1>
    </dataValidation>
  </dataValidations>
  <hyperlinks>
    <hyperlink ref="G8:H8" location="Opgørelse!B12" display="Opgørelse" xr:uid="{8A66DA6B-4C7E-DF47-AE11-7901589F1F7B}"/>
    <hyperlink ref="C8:D8" location="'Normal uger'!A11" display="Normale uger" xr:uid="{5B0AE178-F327-4542-9372-1A745CC9CA3E}"/>
    <hyperlink ref="E8:F8" location="Stamoplysninger!E18" display="Stamoplysninger" xr:uid="{BEAF8023-9BC0-524F-B85D-8FE66CAF1930}"/>
    <hyperlink ref="A8:B8" location="Rul!B20" display="Rul" xr:uid="{388E89EA-EF9E-8D4D-8A94-82015418EEAC}"/>
    <hyperlink ref="A9:B9" location="August!A12" display="August" xr:uid="{D8DA34DA-8326-6C44-89EF-C656A0E8ED5F}"/>
    <hyperlink ref="C9:D9" location="September!A8" display="September" xr:uid="{C29F8857-E254-A147-AB45-A70076E5F082}"/>
    <hyperlink ref="E9:F9" location="Oktober!A8" display="Oktober" xr:uid="{8745F6F3-C20C-CB43-8F35-D99AB70B5523}"/>
    <hyperlink ref="G9:H9" location="November!A8" display="November" xr:uid="{F17E7797-12AB-EA49-9731-BEB3A429F38E}"/>
    <hyperlink ref="A10:B10" location="December!A8" display="December" xr:uid="{73892A39-3EA1-EA45-829D-14C509089ECC}"/>
    <hyperlink ref="C10:D10" location="Januar!A8" display="Januar" xr:uid="{2504A664-3E47-4645-8F32-DDA782B87ECE}"/>
    <hyperlink ref="E10:F10" location="Februar!A8" display="Februar" xr:uid="{9EACA4C3-FABE-BF42-9A36-67F025CECC30}"/>
    <hyperlink ref="A11:B11" location="April!A8" display="April" xr:uid="{47FF9F69-6848-0742-86FE-219FE0E1D7BB}"/>
    <hyperlink ref="C11:D11" location="Maj!A8" display="Maj" xr:uid="{CDF6B6E8-D547-5140-B726-9C6FCFD2DCA8}"/>
    <hyperlink ref="E11:F11" location="Juni!A8" display="Juni" xr:uid="{75282F07-08D1-6246-BE19-C30B61744946}"/>
    <hyperlink ref="G11:H11" location="Juli!A8" display="Juli" xr:uid="{874B990A-DBE3-EC46-AE69-E9B4EEEB856A}"/>
    <hyperlink ref="G10:H10" location="Marts!A8" display="Marts" xr:uid="{B82F3E85-C8EC-9A4C-AEA9-18DC52AD8D92}"/>
  </hyperlinks>
  <printOptions horizontalCentered="1"/>
  <pageMargins left="0.25" right="0.25" top="0.75" bottom="0.75" header="0.3" footer="0.3"/>
  <pageSetup paperSize="9" scale="43" orientation="portrait" horizontalDpi="4294967292" verticalDpi="4294967292" r:id="rId1"/>
  <rowBreaks count="1" manualBreakCount="1">
    <brk id="20" max="16383" man="1"/>
  </rowBreaks>
  <colBreaks count="2" manualBreakCount="2">
    <brk id="1" min="11" max="34" man="1"/>
    <brk id="19"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39997558519241921"/>
    <pageSetUpPr fitToPage="1"/>
  </sheetPr>
  <dimension ref="A1:H64"/>
  <sheetViews>
    <sheetView workbookViewId="0">
      <selection activeCell="B12" sqref="B12"/>
    </sheetView>
  </sheetViews>
  <sheetFormatPr baseColWidth="10" defaultRowHeight="16"/>
  <cols>
    <col min="2" max="2" width="43.6640625" customWidth="1"/>
    <col min="3" max="4" width="16.83203125" customWidth="1"/>
    <col min="5" max="5" width="23.6640625" customWidth="1"/>
    <col min="6" max="8" width="15" customWidth="1"/>
  </cols>
  <sheetData>
    <row r="1" spans="1:8" ht="22" thickBot="1">
      <c r="A1" s="735" t="s">
        <v>496</v>
      </c>
      <c r="B1" s="735"/>
      <c r="C1" s="735"/>
      <c r="D1" s="735"/>
      <c r="E1" s="735"/>
      <c r="F1" s="735"/>
      <c r="G1" s="735"/>
      <c r="H1" s="735"/>
    </row>
    <row r="2" spans="1:8" ht="22" customHeight="1" thickBot="1">
      <c r="A2" s="751" t="s">
        <v>493</v>
      </c>
      <c r="B2" s="752"/>
      <c r="C2" s="753" t="s">
        <v>469</v>
      </c>
      <c r="D2" s="754"/>
      <c r="E2" s="731" t="s">
        <v>495</v>
      </c>
      <c r="F2" s="732"/>
      <c r="G2" s="785" t="s">
        <v>492</v>
      </c>
      <c r="H2" s="1088"/>
    </row>
    <row r="3" spans="1:8" ht="22" customHeight="1" thickBot="1">
      <c r="A3" s="730" t="s">
        <v>117</v>
      </c>
      <c r="B3" s="730"/>
      <c r="C3" s="730" t="s">
        <v>119</v>
      </c>
      <c r="D3" s="730"/>
      <c r="E3" s="730" t="s">
        <v>120</v>
      </c>
      <c r="F3" s="730"/>
      <c r="G3" s="730" t="s">
        <v>121</v>
      </c>
      <c r="H3" s="730"/>
    </row>
    <row r="4" spans="1:8" ht="22" customHeight="1" thickBot="1">
      <c r="A4" s="730" t="s">
        <v>130</v>
      </c>
      <c r="B4" s="730"/>
      <c r="C4" s="730" t="s">
        <v>131</v>
      </c>
      <c r="D4" s="730"/>
      <c r="E4" s="730" t="s">
        <v>132</v>
      </c>
      <c r="F4" s="730"/>
      <c r="G4" s="730" t="s">
        <v>133</v>
      </c>
      <c r="H4" s="730"/>
    </row>
    <row r="5" spans="1:8" ht="22" customHeight="1" thickBot="1">
      <c r="A5" s="730" t="s">
        <v>134</v>
      </c>
      <c r="B5" s="730"/>
      <c r="C5" s="730" t="s">
        <v>135</v>
      </c>
      <c r="D5" s="730"/>
      <c r="E5" s="730" t="s">
        <v>136</v>
      </c>
      <c r="F5" s="730"/>
      <c r="G5" s="730" t="s">
        <v>137</v>
      </c>
      <c r="H5" s="730"/>
    </row>
    <row r="6" spans="1:8" ht="19" customHeight="1">
      <c r="A6" s="1116" t="s">
        <v>161</v>
      </c>
      <c r="B6" s="395" t="s">
        <v>200</v>
      </c>
      <c r="C6" s="396"/>
      <c r="D6" s="396"/>
      <c r="E6" s="396"/>
      <c r="F6" s="396"/>
      <c r="G6" s="396"/>
      <c r="H6" s="397"/>
    </row>
    <row r="7" spans="1:8" ht="20" customHeight="1" thickBot="1">
      <c r="A7" s="1117"/>
      <c r="B7" s="398" t="str">
        <f>"Arbejdstidsopgørelse for "&amp;Stamoplysninger!E14&amp;" vedr. perioden: "&amp;Stamoplysninger!E17&amp;" - "&amp;Stamoplysninger!G17&amp;""</f>
        <v xml:space="preserve">Arbejdstidsopgørelse for  vedr. perioden:  - </v>
      </c>
      <c r="C7" s="399"/>
      <c r="D7" s="399"/>
      <c r="E7" s="399"/>
      <c r="F7" s="399"/>
      <c r="G7" s="399"/>
      <c r="H7" s="400"/>
    </row>
    <row r="8" spans="1:8" ht="20" customHeight="1" thickBot="1">
      <c r="A8" s="1117"/>
      <c r="B8" s="285"/>
      <c r="C8" s="1121" t="s">
        <v>194</v>
      </c>
      <c r="D8" s="1121"/>
      <c r="E8" s="1121"/>
      <c r="F8" s="1102" t="s">
        <v>195</v>
      </c>
      <c r="G8" s="1102"/>
      <c r="H8" s="1103"/>
    </row>
    <row r="9" spans="1:8" ht="35" customHeight="1">
      <c r="A9" s="1117"/>
      <c r="B9" s="159"/>
      <c r="C9" s="160" t="s">
        <v>141</v>
      </c>
      <c r="D9" s="160" t="s">
        <v>111</v>
      </c>
      <c r="E9" s="160" t="s">
        <v>386</v>
      </c>
      <c r="F9" s="165" t="s">
        <v>196</v>
      </c>
      <c r="G9" s="166" t="s">
        <v>197</v>
      </c>
      <c r="H9" s="167" t="s">
        <v>198</v>
      </c>
    </row>
    <row r="10" spans="1:8" ht="16" customHeight="1">
      <c r="A10" s="1117"/>
      <c r="B10" s="161" t="s">
        <v>117</v>
      </c>
      <c r="C10" s="139">
        <f>August!I57</f>
        <v>0</v>
      </c>
      <c r="D10" s="163">
        <f>August!I58+August!I59</f>
        <v>0</v>
      </c>
      <c r="E10" s="163" t="e">
        <f>August!I62</f>
        <v>#DIV/0!</v>
      </c>
      <c r="F10" s="168">
        <f>August!U54</f>
        <v>0</v>
      </c>
      <c r="G10" s="139">
        <f>SUM(August!U57:U61)</f>
        <v>0</v>
      </c>
      <c r="H10" s="142">
        <f>F10-G10</f>
        <v>0</v>
      </c>
    </row>
    <row r="11" spans="1:8" ht="16" customHeight="1">
      <c r="A11" s="1117"/>
      <c r="B11" s="162" t="s">
        <v>119</v>
      </c>
      <c r="C11" s="141">
        <f>September!I51</f>
        <v>0</v>
      </c>
      <c r="D11" s="164">
        <f>September!I52+September!I53</f>
        <v>0</v>
      </c>
      <c r="E11" s="164" t="e">
        <f>September!I56</f>
        <v>#DIV/0!</v>
      </c>
      <c r="F11" s="169">
        <f>September!U48+September!U49</f>
        <v>0</v>
      </c>
      <c r="G11" s="141">
        <f>SUM(September!U52:U55)</f>
        <v>0</v>
      </c>
      <c r="H11" s="143">
        <f t="shared" ref="H11:H21" si="0">F11-G11</f>
        <v>0</v>
      </c>
    </row>
    <row r="12" spans="1:8" ht="16" customHeight="1">
      <c r="A12" s="1117"/>
      <c r="B12" s="161" t="s">
        <v>120</v>
      </c>
      <c r="C12" s="139">
        <f>Oktober!I52</f>
        <v>0</v>
      </c>
      <c r="D12" s="163">
        <f>Oktober!I53+Oktober!I54</f>
        <v>0</v>
      </c>
      <c r="E12" s="163" t="e">
        <f>Oktober!I57</f>
        <v>#DIV/0!</v>
      </c>
      <c r="F12" s="168">
        <f>Oktober!U49+Oktober!U50</f>
        <v>0</v>
      </c>
      <c r="G12" s="139">
        <f>SUM(Oktober!U53:U56)</f>
        <v>0</v>
      </c>
      <c r="H12" s="142">
        <f>F12-G12</f>
        <v>0</v>
      </c>
    </row>
    <row r="13" spans="1:8" ht="16" customHeight="1">
      <c r="A13" s="1117"/>
      <c r="B13" s="162" t="s">
        <v>121</v>
      </c>
      <c r="C13" s="141">
        <f>November!I51</f>
        <v>0</v>
      </c>
      <c r="D13" s="164">
        <f>November!I52+November!I53</f>
        <v>0</v>
      </c>
      <c r="E13" s="164" t="e">
        <f>November!I56</f>
        <v>#DIV/0!</v>
      </c>
      <c r="F13" s="169">
        <f>November!U48+November!U49</f>
        <v>0</v>
      </c>
      <c r="G13" s="141">
        <f>SUM(November!U52:U55)</f>
        <v>0</v>
      </c>
      <c r="H13" s="143">
        <f t="shared" si="0"/>
        <v>0</v>
      </c>
    </row>
    <row r="14" spans="1:8" ht="16" customHeight="1">
      <c r="A14" s="1117"/>
      <c r="B14" s="161" t="s">
        <v>130</v>
      </c>
      <c r="C14" s="139">
        <f>December!I52</f>
        <v>0</v>
      </c>
      <c r="D14" s="163">
        <f>December!I53+December!I54</f>
        <v>0</v>
      </c>
      <c r="E14" s="163" t="e">
        <f>December!I57</f>
        <v>#DIV/0!</v>
      </c>
      <c r="F14" s="168">
        <f>December!U49+December!U50</f>
        <v>0</v>
      </c>
      <c r="G14" s="139">
        <f>SUM(December!U53:U56)</f>
        <v>0</v>
      </c>
      <c r="H14" s="142">
        <f t="shared" si="0"/>
        <v>0</v>
      </c>
    </row>
    <row r="15" spans="1:8" ht="16" customHeight="1">
      <c r="A15" s="1117"/>
      <c r="B15" s="162" t="s">
        <v>131</v>
      </c>
      <c r="C15" s="141">
        <f>Januar!I52</f>
        <v>0</v>
      </c>
      <c r="D15" s="164">
        <f>Januar!I53+Januar!I54</f>
        <v>0</v>
      </c>
      <c r="E15" s="164" t="e">
        <f>Januar!I57</f>
        <v>#DIV/0!</v>
      </c>
      <c r="F15" s="169">
        <f>Januar!U49+Januar!U50</f>
        <v>0</v>
      </c>
      <c r="G15" s="141">
        <f>SUM(Januar!U53:U56)</f>
        <v>0</v>
      </c>
      <c r="H15" s="143">
        <f t="shared" si="0"/>
        <v>0</v>
      </c>
    </row>
    <row r="16" spans="1:8" ht="16" customHeight="1">
      <c r="A16" s="1117"/>
      <c r="B16" s="161" t="s">
        <v>132</v>
      </c>
      <c r="C16" s="139">
        <f>Februar!I50</f>
        <v>0</v>
      </c>
      <c r="D16" s="163">
        <f>Februar!I51+Februar!I52</f>
        <v>0</v>
      </c>
      <c r="E16" s="163" t="e">
        <f>Februar!I55</f>
        <v>#DIV/0!</v>
      </c>
      <c r="F16" s="168">
        <f>Februar!U47+Februar!U48</f>
        <v>0</v>
      </c>
      <c r="G16" s="139">
        <f>SUM(Februar!U51:U54)</f>
        <v>0</v>
      </c>
      <c r="H16" s="142">
        <f t="shared" si="0"/>
        <v>0</v>
      </c>
    </row>
    <row r="17" spans="1:8" ht="16" customHeight="1">
      <c r="A17" s="1117"/>
      <c r="B17" s="162" t="s">
        <v>133</v>
      </c>
      <c r="C17" s="141">
        <f>Marts!I52</f>
        <v>0</v>
      </c>
      <c r="D17" s="164">
        <f>Marts!I53+Marts!I54</f>
        <v>0</v>
      </c>
      <c r="E17" s="164" t="e">
        <f>Marts!I57</f>
        <v>#DIV/0!</v>
      </c>
      <c r="F17" s="169">
        <f>Marts!U49+Marts!U50</f>
        <v>0</v>
      </c>
      <c r="G17" s="141">
        <f>SUM(Marts!U53:U56)</f>
        <v>0</v>
      </c>
      <c r="H17" s="143">
        <f t="shared" si="0"/>
        <v>0</v>
      </c>
    </row>
    <row r="18" spans="1:8" ht="16" customHeight="1">
      <c r="A18" s="1117"/>
      <c r="B18" s="161" t="s">
        <v>134</v>
      </c>
      <c r="C18" s="139">
        <f>April!I51</f>
        <v>0</v>
      </c>
      <c r="D18" s="163">
        <f>April!I52+April!I53</f>
        <v>0</v>
      </c>
      <c r="E18" s="163" t="e">
        <f>April!I56</f>
        <v>#DIV/0!</v>
      </c>
      <c r="F18" s="168">
        <f>April!U48+April!U49</f>
        <v>0</v>
      </c>
      <c r="G18" s="139">
        <f>SUM(April!U52:U55)</f>
        <v>0</v>
      </c>
      <c r="H18" s="142">
        <f t="shared" si="0"/>
        <v>0</v>
      </c>
    </row>
    <row r="19" spans="1:8" ht="16" customHeight="1">
      <c r="A19" s="1117"/>
      <c r="B19" s="162" t="s">
        <v>135</v>
      </c>
      <c r="C19" s="141">
        <f>Maj!I52</f>
        <v>0</v>
      </c>
      <c r="D19" s="164">
        <f>Maj!I53+Maj!I54</f>
        <v>0</v>
      </c>
      <c r="E19" s="164" t="e">
        <f>Maj!I57</f>
        <v>#DIV/0!</v>
      </c>
      <c r="F19" s="169">
        <f>Maj!U49+Maj!U50</f>
        <v>0</v>
      </c>
      <c r="G19" s="141">
        <f>SUM(Maj!U53:U56)</f>
        <v>0</v>
      </c>
      <c r="H19" s="143">
        <f t="shared" si="0"/>
        <v>0</v>
      </c>
    </row>
    <row r="20" spans="1:8" ht="16" customHeight="1">
      <c r="A20" s="1117"/>
      <c r="B20" s="161" t="s">
        <v>136</v>
      </c>
      <c r="C20" s="139">
        <f>Juni!I51</f>
        <v>0</v>
      </c>
      <c r="D20" s="163">
        <f>Juni!I52+Juni!I53</f>
        <v>0</v>
      </c>
      <c r="E20" s="163" t="e">
        <f>Juni!I56</f>
        <v>#DIV/0!</v>
      </c>
      <c r="F20" s="168">
        <f>Juni!U48+Juni!U49</f>
        <v>0</v>
      </c>
      <c r="G20" s="139">
        <f>SUM(Juni!U52:U55)</f>
        <v>0</v>
      </c>
      <c r="H20" s="142">
        <f t="shared" si="0"/>
        <v>0</v>
      </c>
    </row>
    <row r="21" spans="1:8" ht="17" customHeight="1" thickBot="1">
      <c r="A21" s="1117"/>
      <c r="B21" s="170" t="s">
        <v>137</v>
      </c>
      <c r="C21" s="171">
        <f>Juli!I52</f>
        <v>0</v>
      </c>
      <c r="D21" s="172">
        <f>Juli!I53+Juli!I54</f>
        <v>0</v>
      </c>
      <c r="E21" s="172" t="e">
        <f>Juli!I57</f>
        <v>#DIV/0!</v>
      </c>
      <c r="F21" s="173">
        <f>Juli!U49+Juli!U50</f>
        <v>0</v>
      </c>
      <c r="G21" s="171">
        <f>SUM(Juli!U53:U56)</f>
        <v>0</v>
      </c>
      <c r="H21" s="143">
        <f t="shared" si="0"/>
        <v>0</v>
      </c>
    </row>
    <row r="22" spans="1:8" ht="17" customHeight="1" thickBot="1">
      <c r="A22" s="1117"/>
      <c r="B22" s="222" t="s">
        <v>99</v>
      </c>
      <c r="C22" s="223">
        <f>SUM(C10:C21)</f>
        <v>0</v>
      </c>
      <c r="D22" s="223">
        <f>SUM(D10:D21)</f>
        <v>0</v>
      </c>
      <c r="E22" s="224" t="e">
        <f>SUM(E10:E21)</f>
        <v>#DIV/0!</v>
      </c>
      <c r="F22" s="1092" t="str">
        <f>"Særlige feriedage optjent "&amp;August!A17-1&amp;" skal afvikles 1. maj "&amp;August!A17&amp;" - 30. april "&amp;August!A17+1&amp;". Ledelsen må pr. 1. januar "&amp;August!A17+1&amp;" varsle de særlige feriedage der ikke er afholdt eller planlagt til afholdelse inden d. 30. april "&amp;August!A17+1&amp;" med 30 dages varsel. "</f>
        <v xml:space="preserve">Særlige feriedage optjent 2024 skal afvikles 1. maj 2025 - 30. april 2026. Ledelsen må pr. 1. januar 2026 varsle de særlige feriedage der ikke er afholdt eller planlagt til afholdelse inden d. 30. april 2026 med 30 dages varsel. </v>
      </c>
      <c r="G22" s="1093"/>
      <c r="H22" s="1094"/>
    </row>
    <row r="23" spans="1:8">
      <c r="A23" s="1117"/>
      <c r="B23" s="1119" t="s">
        <v>151</v>
      </c>
      <c r="C23" s="1120"/>
      <c r="D23" s="1120"/>
      <c r="E23" s="219" t="e">
        <f>IF(C22&gt;E22,(E22-C22),0)</f>
        <v>#DIV/0!</v>
      </c>
      <c r="F23" s="1095"/>
      <c r="G23" s="1096"/>
      <c r="H23" s="1097"/>
    </row>
    <row r="24" spans="1:8">
      <c r="A24" s="1117"/>
      <c r="B24" s="1122" t="s">
        <v>152</v>
      </c>
      <c r="C24" s="1114"/>
      <c r="D24" s="1114"/>
      <c r="E24" s="139" t="e">
        <f>IF(E22&gt;C22,(E22-C22),0)</f>
        <v>#DIV/0!</v>
      </c>
      <c r="F24" s="1095"/>
      <c r="G24" s="1096"/>
      <c r="H24" s="1097"/>
    </row>
    <row r="25" spans="1:8" ht="17" thickBot="1">
      <c r="A25" s="1118"/>
      <c r="B25" s="1125"/>
      <c r="C25" s="1126"/>
      <c r="D25" s="1126"/>
      <c r="E25" s="1127"/>
      <c r="F25" s="1098"/>
      <c r="G25" s="1099"/>
      <c r="H25" s="1100"/>
    </row>
    <row r="26" spans="1:8" ht="17" thickBot="1">
      <c r="E26" s="1"/>
    </row>
    <row r="27" spans="1:8" ht="21">
      <c r="A27" s="1109" t="s">
        <v>167</v>
      </c>
      <c r="B27" s="1123" t="s">
        <v>172</v>
      </c>
      <c r="C27" s="1124"/>
      <c r="D27" s="1124"/>
      <c r="E27" s="1124"/>
      <c r="F27" s="1104" t="s">
        <v>199</v>
      </c>
      <c r="G27" s="1105"/>
      <c r="H27" s="1106"/>
    </row>
    <row r="28" spans="1:8" ht="52">
      <c r="A28" s="1110"/>
      <c r="B28" s="241"/>
      <c r="C28" s="242" t="str">
        <f>C9</f>
        <v>Nettoarbejdstid</v>
      </c>
      <c r="D28" s="242" t="str">
        <f t="shared" ref="D28:E28" si="1">D9</f>
        <v>Planlagt arbejdstid</v>
      </c>
      <c r="E28" s="242" t="str">
        <f t="shared" si="1"/>
        <v>Faktisk arbejdstid</v>
      </c>
      <c r="F28" s="244" t="str">
        <f>F9</f>
        <v>Særlige feriedage primo</v>
      </c>
      <c r="G28" s="245" t="str">
        <f t="shared" ref="G28:H28" si="2">G9</f>
        <v>Særlige feriedage afholdt</v>
      </c>
      <c r="H28" s="246" t="str">
        <f t="shared" si="2"/>
        <v>Særlige feriedage rest</v>
      </c>
    </row>
    <row r="29" spans="1:8">
      <c r="A29" s="1111"/>
      <c r="B29" s="140" t="s">
        <v>117</v>
      </c>
      <c r="C29" s="139">
        <f>C10</f>
        <v>0</v>
      </c>
      <c r="D29" s="139">
        <f t="shared" ref="D29:E29" si="3">D10</f>
        <v>0</v>
      </c>
      <c r="E29" s="163" t="e">
        <f t="shared" si="3"/>
        <v>#DIV/0!</v>
      </c>
      <c r="F29" s="247">
        <f>F10</f>
        <v>0</v>
      </c>
      <c r="G29" s="142">
        <f>G10</f>
        <v>0</v>
      </c>
      <c r="H29" s="142">
        <f>H10</f>
        <v>0</v>
      </c>
    </row>
    <row r="30" spans="1:8">
      <c r="A30" s="1111"/>
      <c r="B30" s="2" t="s">
        <v>119</v>
      </c>
      <c r="C30" s="141">
        <f t="shared" ref="C30:E31" si="4">C11</f>
        <v>0</v>
      </c>
      <c r="D30" s="141">
        <f t="shared" si="4"/>
        <v>0</v>
      </c>
      <c r="E30" s="164" t="e">
        <f t="shared" si="4"/>
        <v>#DIV/0!</v>
      </c>
      <c r="F30" s="248">
        <f>F11</f>
        <v>0</v>
      </c>
      <c r="G30" s="143">
        <f t="shared" ref="G30:H30" si="5">G11</f>
        <v>0</v>
      </c>
      <c r="H30" s="143">
        <f t="shared" si="5"/>
        <v>0</v>
      </c>
    </row>
    <row r="31" spans="1:8">
      <c r="A31" s="1111"/>
      <c r="B31" s="140" t="s">
        <v>120</v>
      </c>
      <c r="C31" s="139">
        <f t="shared" si="4"/>
        <v>0</v>
      </c>
      <c r="D31" s="139">
        <f t="shared" si="4"/>
        <v>0</v>
      </c>
      <c r="E31" s="163" t="e">
        <f t="shared" si="4"/>
        <v>#DIV/0!</v>
      </c>
      <c r="F31" s="247">
        <f>F12</f>
        <v>0</v>
      </c>
      <c r="G31" s="142">
        <f t="shared" ref="G31:H31" si="6">G12</f>
        <v>0</v>
      </c>
      <c r="H31" s="142">
        <f t="shared" si="6"/>
        <v>0</v>
      </c>
    </row>
    <row r="32" spans="1:8" ht="17" thickBot="1">
      <c r="A32" s="1111"/>
      <c r="B32" s="239" t="s">
        <v>165</v>
      </c>
      <c r="C32" s="240">
        <f>SUM(C29:C31)</f>
        <v>0</v>
      </c>
      <c r="D32" s="240">
        <f t="shared" ref="D32:E32" si="7">SUM(D29:D31)</f>
        <v>0</v>
      </c>
      <c r="E32" s="243" t="e">
        <f t="shared" si="7"/>
        <v>#DIV/0!</v>
      </c>
      <c r="F32" s="1089"/>
      <c r="G32" s="1090"/>
      <c r="H32" s="1091"/>
    </row>
    <row r="33" spans="1:8">
      <c r="A33" s="1111"/>
      <c r="B33" s="1114" t="s">
        <v>151</v>
      </c>
      <c r="C33" s="1114"/>
      <c r="D33" s="1114"/>
      <c r="E33" s="142" t="e">
        <f>IF(C32&gt;E32,E32-C32,0)</f>
        <v>#DIV/0!</v>
      </c>
    </row>
    <row r="34" spans="1:8" ht="17" thickBot="1">
      <c r="A34" s="1112"/>
      <c r="B34" s="1115" t="s">
        <v>166</v>
      </c>
      <c r="C34" s="1115"/>
      <c r="D34" s="1115"/>
      <c r="E34" s="220" t="e">
        <f>IF(E32&gt;C32,E32-C32,0)</f>
        <v>#DIV/0!</v>
      </c>
    </row>
    <row r="35" spans="1:8" ht="17" thickBot="1"/>
    <row r="36" spans="1:8" ht="21">
      <c r="A36" s="1109" t="s">
        <v>168</v>
      </c>
      <c r="B36" s="1113" t="s">
        <v>171</v>
      </c>
      <c r="C36" s="1105"/>
      <c r="D36" s="1105"/>
      <c r="E36" s="1105"/>
      <c r="F36" s="1104" t="str">
        <f>F27</f>
        <v xml:space="preserve">Særlige feriedage  </v>
      </c>
      <c r="G36" s="1105"/>
      <c r="H36" s="1106"/>
    </row>
    <row r="37" spans="1:8" ht="52">
      <c r="A37" s="1110"/>
      <c r="B37" s="241"/>
      <c r="C37" s="242" t="str">
        <f>C28</f>
        <v>Nettoarbejdstid</v>
      </c>
      <c r="D37" s="242" t="str">
        <f t="shared" ref="D37:E37" si="8">D28</f>
        <v>Planlagt arbejdstid</v>
      </c>
      <c r="E37" s="242" t="str">
        <f t="shared" si="8"/>
        <v>Faktisk arbejdstid</v>
      </c>
      <c r="F37" s="644" t="str">
        <f t="shared" ref="F37:H37" si="9">F28</f>
        <v>Særlige feriedage primo</v>
      </c>
      <c r="G37" s="242" t="str">
        <f t="shared" si="9"/>
        <v>Særlige feriedage afholdt</v>
      </c>
      <c r="H37" s="645" t="str">
        <f t="shared" si="9"/>
        <v>Særlige feriedage rest</v>
      </c>
    </row>
    <row r="38" spans="1:8" ht="20" customHeight="1">
      <c r="A38" s="1111"/>
      <c r="B38" s="140" t="s">
        <v>121</v>
      </c>
      <c r="C38" s="139">
        <f>C13</f>
        <v>0</v>
      </c>
      <c r="D38" s="139">
        <f t="shared" ref="D38:E38" si="10">D13</f>
        <v>0</v>
      </c>
      <c r="E38" s="163" t="e">
        <f t="shared" si="10"/>
        <v>#DIV/0!</v>
      </c>
      <c r="F38" s="168">
        <f>F13</f>
        <v>0</v>
      </c>
      <c r="G38" s="139">
        <f t="shared" ref="G38:H38" si="11">G13</f>
        <v>0</v>
      </c>
      <c r="H38" s="142">
        <f t="shared" si="11"/>
        <v>0</v>
      </c>
    </row>
    <row r="39" spans="1:8">
      <c r="A39" s="1111"/>
      <c r="B39" s="2" t="s">
        <v>130</v>
      </c>
      <c r="C39" s="141">
        <f t="shared" ref="C39:E40" si="12">C14</f>
        <v>0</v>
      </c>
      <c r="D39" s="141">
        <f t="shared" si="12"/>
        <v>0</v>
      </c>
      <c r="E39" s="164" t="e">
        <f t="shared" si="12"/>
        <v>#DIV/0!</v>
      </c>
      <c r="F39" s="169">
        <f t="shared" ref="F39:H39" si="13">F14</f>
        <v>0</v>
      </c>
      <c r="G39" s="141">
        <f t="shared" si="13"/>
        <v>0</v>
      </c>
      <c r="H39" s="143">
        <f t="shared" si="13"/>
        <v>0</v>
      </c>
    </row>
    <row r="40" spans="1:8">
      <c r="A40" s="1111"/>
      <c r="B40" s="140" t="s">
        <v>131</v>
      </c>
      <c r="C40" s="139">
        <f t="shared" si="12"/>
        <v>0</v>
      </c>
      <c r="D40" s="139">
        <f t="shared" si="12"/>
        <v>0</v>
      </c>
      <c r="E40" s="163" t="e">
        <f t="shared" si="12"/>
        <v>#DIV/0!</v>
      </c>
      <c r="F40" s="168">
        <f t="shared" ref="F40:H40" si="14">F15</f>
        <v>0</v>
      </c>
      <c r="G40" s="139">
        <f t="shared" si="14"/>
        <v>0</v>
      </c>
      <c r="H40" s="142">
        <f t="shared" si="14"/>
        <v>0</v>
      </c>
    </row>
    <row r="41" spans="1:8" ht="17" thickBot="1">
      <c r="A41" s="1111"/>
      <c r="B41" s="239" t="s">
        <v>165</v>
      </c>
      <c r="C41" s="240">
        <f>SUM(C38:C40)</f>
        <v>0</v>
      </c>
      <c r="D41" s="240">
        <f t="shared" ref="D41" si="15">SUM(D38:D40)</f>
        <v>0</v>
      </c>
      <c r="E41" s="243" t="e">
        <f t="shared" ref="E41" si="16">SUM(E38:E40)</f>
        <v>#DIV/0!</v>
      </c>
      <c r="F41" s="1089"/>
      <c r="G41" s="1090"/>
      <c r="H41" s="1091"/>
    </row>
    <row r="42" spans="1:8">
      <c r="A42" s="1111"/>
      <c r="B42" s="1114" t="s">
        <v>151</v>
      </c>
      <c r="C42" s="1114"/>
      <c r="D42" s="1114"/>
      <c r="E42" s="142" t="e">
        <f>IF(C41&gt;E41,E41-C41,0)</f>
        <v>#DIV/0!</v>
      </c>
    </row>
    <row r="43" spans="1:8" ht="17" thickBot="1">
      <c r="A43" s="1112"/>
      <c r="B43" s="1115" t="s">
        <v>166</v>
      </c>
      <c r="C43" s="1115"/>
      <c r="D43" s="1115"/>
      <c r="E43" s="220" t="e">
        <f>IF(E41&gt;C41,E41-C41,0)</f>
        <v>#DIV/0!</v>
      </c>
    </row>
    <row r="44" spans="1:8" ht="17" thickBot="1"/>
    <row r="45" spans="1:8" ht="21">
      <c r="A45" s="1109" t="s">
        <v>170</v>
      </c>
      <c r="B45" s="1113" t="s">
        <v>181</v>
      </c>
      <c r="C45" s="1105"/>
      <c r="D45" s="1105"/>
      <c r="E45" s="1105"/>
      <c r="F45" s="1104" t="str">
        <f>F36</f>
        <v xml:space="preserve">Særlige feriedage  </v>
      </c>
      <c r="G45" s="1105"/>
      <c r="H45" s="1106"/>
    </row>
    <row r="46" spans="1:8" ht="52">
      <c r="A46" s="1110"/>
      <c r="B46" s="241"/>
      <c r="C46" s="242" t="str">
        <f>C37</f>
        <v>Nettoarbejdstid</v>
      </c>
      <c r="D46" s="242" t="str">
        <f t="shared" ref="D46:E46" si="17">D37</f>
        <v>Planlagt arbejdstid</v>
      </c>
      <c r="E46" s="242" t="str">
        <f t="shared" si="17"/>
        <v>Faktisk arbejdstid</v>
      </c>
      <c r="F46" s="644" t="str">
        <f t="shared" ref="F46:H46" si="18">F37</f>
        <v>Særlige feriedage primo</v>
      </c>
      <c r="G46" s="242" t="str">
        <f t="shared" si="18"/>
        <v>Særlige feriedage afholdt</v>
      </c>
      <c r="H46" s="645" t="str">
        <f t="shared" si="18"/>
        <v>Særlige feriedage rest</v>
      </c>
    </row>
    <row r="47" spans="1:8" ht="23" customHeight="1">
      <c r="A47" s="1111"/>
      <c r="B47" s="140" t="s">
        <v>132</v>
      </c>
      <c r="C47" s="139">
        <f>C16</f>
        <v>0</v>
      </c>
      <c r="D47" s="139">
        <f t="shared" ref="D47:E47" si="19">D16</f>
        <v>0</v>
      </c>
      <c r="E47" s="163" t="e">
        <f t="shared" si="19"/>
        <v>#DIV/0!</v>
      </c>
      <c r="F47" s="168">
        <f t="shared" ref="F47:H47" si="20">F16</f>
        <v>0</v>
      </c>
      <c r="G47" s="139">
        <f t="shared" si="20"/>
        <v>0</v>
      </c>
      <c r="H47" s="142">
        <f t="shared" si="20"/>
        <v>0</v>
      </c>
    </row>
    <row r="48" spans="1:8">
      <c r="A48" s="1111"/>
      <c r="B48" s="2" t="s">
        <v>133</v>
      </c>
      <c r="C48" s="141">
        <f t="shared" ref="C48:E49" si="21">C17</f>
        <v>0</v>
      </c>
      <c r="D48" s="141">
        <f t="shared" si="21"/>
        <v>0</v>
      </c>
      <c r="E48" s="164" t="e">
        <f t="shared" si="21"/>
        <v>#DIV/0!</v>
      </c>
      <c r="F48" s="169">
        <f t="shared" ref="F48:H48" si="22">F17</f>
        <v>0</v>
      </c>
      <c r="G48" s="141">
        <f t="shared" si="22"/>
        <v>0</v>
      </c>
      <c r="H48" s="143">
        <f t="shared" si="22"/>
        <v>0</v>
      </c>
    </row>
    <row r="49" spans="1:8">
      <c r="A49" s="1111"/>
      <c r="B49" s="140" t="s">
        <v>134</v>
      </c>
      <c r="C49" s="139">
        <f t="shared" si="21"/>
        <v>0</v>
      </c>
      <c r="D49" s="139">
        <f t="shared" si="21"/>
        <v>0</v>
      </c>
      <c r="E49" s="163" t="e">
        <f t="shared" si="21"/>
        <v>#DIV/0!</v>
      </c>
      <c r="F49" s="168">
        <f t="shared" ref="F49:H49" si="23">F18</f>
        <v>0</v>
      </c>
      <c r="G49" s="139">
        <f t="shared" si="23"/>
        <v>0</v>
      </c>
      <c r="H49" s="142">
        <f t="shared" si="23"/>
        <v>0</v>
      </c>
    </row>
    <row r="50" spans="1:8" ht="17" thickBot="1">
      <c r="A50" s="1111"/>
      <c r="B50" s="239" t="s">
        <v>165</v>
      </c>
      <c r="C50" s="240">
        <f>SUM(C47:C49)</f>
        <v>0</v>
      </c>
      <c r="D50" s="240">
        <f t="shared" ref="D50" si="24">SUM(D47:D49)</f>
        <v>0</v>
      </c>
      <c r="E50" s="243" t="e">
        <f t="shared" ref="E50" si="25">SUM(E47:E49)</f>
        <v>#DIV/0!</v>
      </c>
      <c r="F50" s="1089"/>
      <c r="G50" s="1090"/>
      <c r="H50" s="1091"/>
    </row>
    <row r="51" spans="1:8">
      <c r="A51" s="1111"/>
      <c r="B51" s="1114" t="s">
        <v>151</v>
      </c>
      <c r="C51" s="1114"/>
      <c r="D51" s="1114"/>
      <c r="E51" s="142" t="e">
        <f>IF(C50&gt;E50,E50-C50,0)</f>
        <v>#DIV/0!</v>
      </c>
      <c r="F51" s="1101" t="s">
        <v>202</v>
      </c>
      <c r="G51" s="1101"/>
      <c r="H51" s="1101"/>
    </row>
    <row r="52" spans="1:8" ht="17" thickBot="1">
      <c r="A52" s="1112"/>
      <c r="B52" s="1115" t="s">
        <v>166</v>
      </c>
      <c r="C52" s="1115"/>
      <c r="D52" s="1115"/>
      <c r="E52" s="220" t="e">
        <f>IF(E50&gt;C50,E50-C50,0)</f>
        <v>#DIV/0!</v>
      </c>
      <c r="F52" s="1101"/>
      <c r="G52" s="1101"/>
      <c r="H52" s="1101"/>
    </row>
    <row r="53" spans="1:8" ht="17" thickBot="1"/>
    <row r="54" spans="1:8" ht="21">
      <c r="A54" s="1109" t="s">
        <v>169</v>
      </c>
      <c r="B54" s="1113" t="s">
        <v>182</v>
      </c>
      <c r="C54" s="1105"/>
      <c r="D54" s="1105"/>
      <c r="E54" s="1105"/>
      <c r="F54" s="1104" t="str">
        <f>F45</f>
        <v xml:space="preserve">Særlige feriedage  </v>
      </c>
      <c r="G54" s="1105"/>
      <c r="H54" s="1106"/>
    </row>
    <row r="55" spans="1:8" ht="52">
      <c r="A55" s="1110"/>
      <c r="B55" s="241"/>
      <c r="C55" s="242" t="str">
        <f>C46</f>
        <v>Nettoarbejdstid</v>
      </c>
      <c r="D55" s="242" t="str">
        <f t="shared" ref="D55:E55" si="26">D46</f>
        <v>Planlagt arbejdstid</v>
      </c>
      <c r="E55" s="242" t="str">
        <f t="shared" si="26"/>
        <v>Faktisk arbejdstid</v>
      </c>
      <c r="F55" s="644" t="str">
        <f t="shared" ref="F55:H55" si="27">F46</f>
        <v>Særlige feriedage primo</v>
      </c>
      <c r="G55" s="242" t="str">
        <f t="shared" si="27"/>
        <v>Særlige feriedage afholdt</v>
      </c>
      <c r="H55" s="645" t="str">
        <f t="shared" si="27"/>
        <v>Særlige feriedage rest</v>
      </c>
    </row>
    <row r="56" spans="1:8">
      <c r="A56" s="1111"/>
      <c r="B56" s="140" t="s">
        <v>135</v>
      </c>
      <c r="C56" s="139">
        <f>C19</f>
        <v>0</v>
      </c>
      <c r="D56" s="139">
        <f t="shared" ref="D56:E56" si="28">D19</f>
        <v>0</v>
      </c>
      <c r="E56" s="163" t="e">
        <f t="shared" si="28"/>
        <v>#DIV/0!</v>
      </c>
      <c r="F56" s="168">
        <f>F19</f>
        <v>0</v>
      </c>
      <c r="G56" s="139">
        <f t="shared" ref="G56:H56" si="29">G19</f>
        <v>0</v>
      </c>
      <c r="H56" s="142">
        <f t="shared" si="29"/>
        <v>0</v>
      </c>
    </row>
    <row r="57" spans="1:8">
      <c r="A57" s="1111"/>
      <c r="B57" s="2" t="s">
        <v>136</v>
      </c>
      <c r="C57" s="141">
        <f t="shared" ref="C57:E58" si="30">C20</f>
        <v>0</v>
      </c>
      <c r="D57" s="141">
        <f t="shared" si="30"/>
        <v>0</v>
      </c>
      <c r="E57" s="164" t="e">
        <f t="shared" si="30"/>
        <v>#DIV/0!</v>
      </c>
      <c r="F57" s="169">
        <f t="shared" ref="F57:H57" si="31">F20</f>
        <v>0</v>
      </c>
      <c r="G57" s="141">
        <f t="shared" si="31"/>
        <v>0</v>
      </c>
      <c r="H57" s="143">
        <f t="shared" si="31"/>
        <v>0</v>
      </c>
    </row>
    <row r="58" spans="1:8">
      <c r="A58" s="1111"/>
      <c r="B58" s="140" t="s">
        <v>137</v>
      </c>
      <c r="C58" s="139">
        <f t="shared" si="30"/>
        <v>0</v>
      </c>
      <c r="D58" s="139">
        <f t="shared" si="30"/>
        <v>0</v>
      </c>
      <c r="E58" s="163" t="e">
        <f t="shared" si="30"/>
        <v>#DIV/0!</v>
      </c>
      <c r="F58" s="168">
        <f t="shared" ref="F58:H58" si="32">F21</f>
        <v>0</v>
      </c>
      <c r="G58" s="139">
        <f t="shared" si="32"/>
        <v>0</v>
      </c>
      <c r="H58" s="142">
        <f t="shared" si="32"/>
        <v>0</v>
      </c>
    </row>
    <row r="59" spans="1:8" ht="17" thickBot="1">
      <c r="A59" s="1111"/>
      <c r="B59" s="239" t="s">
        <v>165</v>
      </c>
      <c r="C59" s="240">
        <f>SUM(C56:C58)</f>
        <v>0</v>
      </c>
      <c r="D59" s="240">
        <f t="shared" ref="D59" si="33">SUM(D56:D58)</f>
        <v>0</v>
      </c>
      <c r="E59" s="243" t="e">
        <f t="shared" ref="E59" si="34">SUM(E56:E58)</f>
        <v>#DIV/0!</v>
      </c>
      <c r="F59" s="1089"/>
      <c r="G59" s="1090"/>
      <c r="H59" s="1091"/>
    </row>
    <row r="60" spans="1:8">
      <c r="A60" s="1111"/>
      <c r="B60" s="1114" t="s">
        <v>151</v>
      </c>
      <c r="C60" s="1114"/>
      <c r="D60" s="1114"/>
      <c r="E60" s="142" t="e">
        <f>IF(C59&gt;E59,E59-C59,0)</f>
        <v>#DIV/0!</v>
      </c>
    </row>
    <row r="61" spans="1:8" ht="17" thickBot="1">
      <c r="A61" s="1112"/>
      <c r="B61" s="1115" t="s">
        <v>166</v>
      </c>
      <c r="C61" s="1115"/>
      <c r="D61" s="1115"/>
      <c r="E61" s="220" t="e">
        <f>IF(E59&gt;C59,E59-C59,0)</f>
        <v>#DIV/0!</v>
      </c>
    </row>
    <row r="62" spans="1:8" ht="17" thickBot="1"/>
    <row r="63" spans="1:8" ht="22" thickBot="1">
      <c r="A63" s="1107" t="s">
        <v>175</v>
      </c>
      <c r="B63" s="1108"/>
      <c r="C63" s="1108"/>
      <c r="D63" s="1108"/>
      <c r="E63" s="629" t="e">
        <f>E33+E34+E42+E43+E51+E52+E60+E61</f>
        <v>#DIV/0!</v>
      </c>
    </row>
    <row r="64" spans="1:8" ht="24" customHeight="1" thickBot="1">
      <c r="A64" s="630" t="s">
        <v>389</v>
      </c>
      <c r="B64" s="631"/>
      <c r="C64" s="631"/>
      <c r="D64" s="631"/>
      <c r="E64" s="632" t="e">
        <f>Arbejdstidsoversigt!J56</f>
        <v>#DIV/0!</v>
      </c>
    </row>
  </sheetData>
  <sheetProtection sheet="1" objects="1" scenarios="1"/>
  <mergeCells count="50">
    <mergeCell ref="A6:A25"/>
    <mergeCell ref="B33:D33"/>
    <mergeCell ref="B23:D23"/>
    <mergeCell ref="C8:E8"/>
    <mergeCell ref="B60:D60"/>
    <mergeCell ref="B24:D24"/>
    <mergeCell ref="B34:D34"/>
    <mergeCell ref="A27:A34"/>
    <mergeCell ref="B27:E27"/>
    <mergeCell ref="A36:A43"/>
    <mergeCell ref="B36:E36"/>
    <mergeCell ref="B42:D42"/>
    <mergeCell ref="B43:D43"/>
    <mergeCell ref="B25:E25"/>
    <mergeCell ref="A63:D63"/>
    <mergeCell ref="A45:A52"/>
    <mergeCell ref="B45:E45"/>
    <mergeCell ref="B51:D51"/>
    <mergeCell ref="B52:D52"/>
    <mergeCell ref="A54:A61"/>
    <mergeCell ref="B54:E54"/>
    <mergeCell ref="B61:D61"/>
    <mergeCell ref="F59:H59"/>
    <mergeCell ref="F22:H25"/>
    <mergeCell ref="F51:H52"/>
    <mergeCell ref="F8:H8"/>
    <mergeCell ref="F27:H27"/>
    <mergeCell ref="F36:H36"/>
    <mergeCell ref="F45:H45"/>
    <mergeCell ref="F54:H54"/>
    <mergeCell ref="F32:H32"/>
    <mergeCell ref="F41:H41"/>
    <mergeCell ref="F50:H50"/>
    <mergeCell ref="A1:H1"/>
    <mergeCell ref="A2:B2"/>
    <mergeCell ref="C2:D2"/>
    <mergeCell ref="E2:F2"/>
    <mergeCell ref="G2:H2"/>
    <mergeCell ref="A3:B3"/>
    <mergeCell ref="C3:D3"/>
    <mergeCell ref="E3:F3"/>
    <mergeCell ref="G3:H3"/>
    <mergeCell ref="A4:B4"/>
    <mergeCell ref="E4:F4"/>
    <mergeCell ref="E5:F5"/>
    <mergeCell ref="G4:H4"/>
    <mergeCell ref="G5:H5"/>
    <mergeCell ref="A5:B5"/>
    <mergeCell ref="C4:D4"/>
    <mergeCell ref="C5:D5"/>
  </mergeCells>
  <phoneticPr fontId="4" type="noConversion"/>
  <conditionalFormatting sqref="B23 E23">
    <cfRule type="expression" dxfId="849" priority="11">
      <formula>OR($E$22&gt;$C$22,)</formula>
    </cfRule>
    <cfRule type="expression" dxfId="848" priority="12">
      <formula>"ELLER($E$16&gt;$$16;)"</formula>
    </cfRule>
  </conditionalFormatting>
  <conditionalFormatting sqref="B24 E24">
    <cfRule type="expression" dxfId="847" priority="10">
      <formula>OR($C$22&gt;$E$22,)</formula>
    </cfRule>
  </conditionalFormatting>
  <conditionalFormatting sqref="B25">
    <cfRule type="expression" dxfId="846" priority="571">
      <formula>OR(#REF!&lt;0,)</formula>
    </cfRule>
  </conditionalFormatting>
  <conditionalFormatting sqref="B33 E33">
    <cfRule type="expression" dxfId="845" priority="8">
      <formula>OR($C$32&lt;$E$32,)</formula>
    </cfRule>
  </conditionalFormatting>
  <conditionalFormatting sqref="B34 E34">
    <cfRule type="expression" dxfId="844" priority="7">
      <formula>OR($E$32&lt;$C$32,)</formula>
    </cfRule>
  </conditionalFormatting>
  <conditionalFormatting sqref="B42 E42">
    <cfRule type="expression" dxfId="843" priority="6">
      <formula>OR($E$41&gt;$C$41,)</formula>
    </cfRule>
  </conditionalFormatting>
  <conditionalFormatting sqref="B43 E43">
    <cfRule type="expression" dxfId="842" priority="5">
      <formula>OR($C$41&gt;$E$41,)</formula>
    </cfRule>
  </conditionalFormatting>
  <conditionalFormatting sqref="B51 E51">
    <cfRule type="expression" dxfId="841" priority="4">
      <formula>OR($E$50&gt;$C$50,)</formula>
    </cfRule>
  </conditionalFormatting>
  <conditionalFormatting sqref="B52 E52">
    <cfRule type="expression" dxfId="840" priority="3">
      <formula>OR($C$50&gt;$E$50,)</formula>
    </cfRule>
  </conditionalFormatting>
  <conditionalFormatting sqref="B60 E60">
    <cfRule type="expression" dxfId="839" priority="2">
      <formula>OR($E$59&gt;$C$59,)</formula>
    </cfRule>
  </conditionalFormatting>
  <conditionalFormatting sqref="B61 E61">
    <cfRule type="expression" dxfId="838" priority="1">
      <formula>OR($C$59&gt;$E$59,)</formula>
    </cfRule>
  </conditionalFormatting>
  <hyperlinks>
    <hyperlink ref="E2:F2" location="Arbejdstidsoversigt!A19" display="Arbejdstids-oversigt" xr:uid="{B51A2A84-8E48-E848-B639-4D13C2150A1B}"/>
    <hyperlink ref="C2:D2" location="Rul!B20" display="Rul" xr:uid="{EC7DC098-BC1E-4E49-948A-CB6937C4BE45}"/>
    <hyperlink ref="A2:B2" location="'Normal uger'!A11" display="Normale uger" xr:uid="{352EEB35-C4F5-7548-8632-D83ECC88B89A}"/>
    <hyperlink ref="G2:H2" location="Stamoplysninger!E18" display="Stamoplysninger" xr:uid="{4B58BC02-E16D-5A4C-889F-C46BCAC13945}"/>
    <hyperlink ref="A3:B3" location="August!A12" display="August" xr:uid="{4E2E38BE-4F21-1B41-9933-D92464B26907}"/>
    <hyperlink ref="C3:D3" location="September!A8" display="September" xr:uid="{49F14F42-61AA-D447-BAC9-9C7740AA0F97}"/>
    <hyperlink ref="E3:F3" location="Oktober!A8" display="Oktober" xr:uid="{3FC9BB7A-C229-3F44-8115-45633A99CBA8}"/>
    <hyperlink ref="G3:H3" location="November!A8" display="November" xr:uid="{C9A9DF1F-7A3F-F44F-89A1-DF0111F32CD9}"/>
    <hyperlink ref="A4:B4" location="December!A8" display="December" xr:uid="{155F9B9B-CA01-9D4D-9F38-3E7EAEFFA5AE}"/>
    <hyperlink ref="C4:D4" location="Januar!A8" display="Januar" xr:uid="{F0AFAD75-5741-BA42-8C49-AD3DD608E868}"/>
    <hyperlink ref="E4:F4" location="Februar!A8" display="Februar" xr:uid="{3970A90C-E25D-774B-8C36-2F180CAA00A3}"/>
    <hyperlink ref="A5:B5" location="April!A8" display="April" xr:uid="{98B8BC3A-1FC7-C849-ACC3-0B507310DDD8}"/>
    <hyperlink ref="C5:D5" location="Maj!A8" display="Maj" xr:uid="{1A7701DD-27BB-A54D-BBDC-968B4DA4E422}"/>
    <hyperlink ref="E5:F5" location="Juni!A8" display="Juni" xr:uid="{BFDC4620-1B11-F246-A9B2-B7B9F9ED79DC}"/>
    <hyperlink ref="G5:H5" location="Juli!A8" display="Juli" xr:uid="{2127B013-D994-D74F-8192-2498E6DEA3E3}"/>
    <hyperlink ref="G4:H4" location="Marts!A8" display="Marts" xr:uid="{ACCD03BD-BDDD-204B-9BFC-A1B4BBF69333}"/>
  </hyperlinks>
  <pageMargins left="0.25" right="0.25" top="0.75" bottom="0.75" header="0.3" footer="0.3"/>
  <pageSetup paperSize="9" scale="68"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9"/>
  <sheetViews>
    <sheetView showZeros="0" view="pageLayout" topLeftCell="A10" workbookViewId="0">
      <selection activeCell="G48" sqref="G48"/>
    </sheetView>
  </sheetViews>
  <sheetFormatPr baseColWidth="10" defaultRowHeight="12"/>
  <cols>
    <col min="1" max="1" width="3" style="37" customWidth="1"/>
    <col min="2" max="2" width="3.33203125" style="37" customWidth="1"/>
    <col min="3" max="3" width="12.1640625" style="37" customWidth="1"/>
    <col min="4" max="5" width="3" style="37" customWidth="1"/>
    <col min="6" max="6" width="3.33203125" style="37" customWidth="1"/>
    <col min="7" max="7" width="12.1640625" style="37" customWidth="1"/>
    <col min="8" max="8" width="2.5" style="37" customWidth="1"/>
    <col min="9" max="9" width="3" style="37" customWidth="1"/>
    <col min="10" max="10" width="3.33203125" style="37" customWidth="1"/>
    <col min="11" max="11" width="12.1640625" style="37" customWidth="1"/>
    <col min="12" max="12" width="3.33203125" style="37" customWidth="1"/>
    <col min="13" max="13" width="3" style="37" customWidth="1"/>
    <col min="14" max="14" width="3.33203125" style="37" customWidth="1"/>
    <col min="15" max="15" width="12.1640625" style="37" customWidth="1"/>
    <col min="16" max="16" width="3.1640625" style="37" customWidth="1"/>
    <col min="17" max="17" width="3" style="37" customWidth="1"/>
    <col min="18" max="18" width="3.33203125" style="37" customWidth="1"/>
    <col min="19" max="19" width="12.1640625" style="37" customWidth="1"/>
    <col min="20" max="20" width="3.33203125" style="37" customWidth="1"/>
    <col min="21" max="21" width="3" style="37" customWidth="1"/>
    <col min="22" max="22" width="3.33203125" style="37" customWidth="1"/>
    <col min="23" max="23" width="12.1640625" style="37" customWidth="1"/>
    <col min="24" max="24" width="2.5" style="37" customWidth="1"/>
    <col min="25" max="25" width="3" style="37" customWidth="1"/>
    <col min="26" max="26" width="3.33203125" style="37" customWidth="1"/>
    <col min="27" max="27" width="12.1640625" style="37" customWidth="1"/>
    <col min="28" max="28" width="2.5" style="37" customWidth="1"/>
    <col min="29" max="29" width="3" style="37" customWidth="1"/>
    <col min="30" max="30" width="3.33203125" style="37" customWidth="1"/>
    <col min="31" max="31" width="12.1640625" style="37" customWidth="1"/>
    <col min="32" max="32" width="2.5" style="37" customWidth="1"/>
    <col min="33" max="33" width="3" style="37" customWidth="1"/>
    <col min="34" max="34" width="3.33203125" style="37" customWidth="1"/>
    <col min="35" max="35" width="12.1640625" style="37" customWidth="1"/>
    <col min="36" max="36" width="2.5" style="37" customWidth="1"/>
    <col min="37" max="37" width="3" style="37" customWidth="1"/>
    <col min="38" max="38" width="3.33203125" style="37" customWidth="1"/>
    <col min="39" max="39" width="12.1640625" style="37" customWidth="1"/>
    <col min="40" max="40" width="2.5" style="37" customWidth="1"/>
    <col min="41" max="41" width="3" style="37" customWidth="1"/>
    <col min="42" max="42" width="3.33203125" style="37" customWidth="1"/>
    <col min="43" max="43" width="12.1640625" style="37" customWidth="1"/>
    <col min="44" max="44" width="2.5" style="37" customWidth="1"/>
    <col min="45" max="45" width="3" style="37" customWidth="1"/>
    <col min="46" max="46" width="3.6640625" style="37" customWidth="1"/>
    <col min="47" max="47" width="12.1640625" style="37" customWidth="1"/>
    <col min="48" max="48" width="4.33203125" style="37" customWidth="1"/>
    <col min="49" max="16384" width="10.83203125" style="37"/>
  </cols>
  <sheetData>
    <row r="1" spans="1:48" ht="30" customHeight="1" thickBot="1">
      <c r="A1" s="489" t="str">
        <f>"ÅRSKALENDER  for  "&amp;Stamoplysninger!E14&amp;" vedr. skoleåret "&amp;Stamoplysninger!F12&amp;""</f>
        <v>ÅRSKALENDER  for   vedr. skoleåret 2025-2026</v>
      </c>
      <c r="B1" s="490"/>
      <c r="C1" s="491"/>
      <c r="D1" s="492"/>
      <c r="E1" s="491"/>
      <c r="F1" s="490"/>
      <c r="G1" s="491"/>
      <c r="H1" s="492"/>
      <c r="I1" s="491"/>
      <c r="J1" s="490"/>
      <c r="K1" s="491"/>
      <c r="L1" s="492"/>
      <c r="M1" s="491"/>
      <c r="N1" s="490"/>
      <c r="O1" s="491"/>
      <c r="P1" s="492"/>
      <c r="Q1" s="491"/>
      <c r="R1" s="490"/>
      <c r="S1" s="491"/>
      <c r="T1" s="492"/>
      <c r="U1" s="491"/>
      <c r="V1" s="490"/>
      <c r="W1" s="491"/>
      <c r="X1" s="492"/>
      <c r="Y1" s="491"/>
      <c r="Z1" s="490"/>
      <c r="AA1" s="491"/>
      <c r="AB1" s="492"/>
      <c r="AC1" s="491"/>
      <c r="AD1" s="490"/>
      <c r="AE1" s="491"/>
      <c r="AF1" s="492"/>
      <c r="AG1" s="491"/>
      <c r="AH1" s="490"/>
      <c r="AI1" s="491"/>
      <c r="AJ1" s="492"/>
      <c r="AK1" s="491"/>
      <c r="AL1" s="490"/>
      <c r="AM1" s="491"/>
      <c r="AN1" s="492"/>
      <c r="AO1" s="491"/>
      <c r="AP1" s="490"/>
      <c r="AQ1" s="491"/>
      <c r="AR1" s="492"/>
      <c r="AS1" s="491"/>
      <c r="AT1" s="490"/>
      <c r="AU1" s="491"/>
      <c r="AV1" s="493"/>
    </row>
    <row r="2" spans="1:48" ht="24" customHeight="1" thickBot="1">
      <c r="A2" s="494" t="s">
        <v>58</v>
      </c>
      <c r="B2" s="495"/>
      <c r="C2" s="496"/>
      <c r="D2" s="497"/>
      <c r="E2" s="498" t="s">
        <v>59</v>
      </c>
      <c r="F2" s="495"/>
      <c r="G2" s="496"/>
      <c r="H2" s="497"/>
      <c r="I2" s="499" t="s">
        <v>60</v>
      </c>
      <c r="J2" s="495"/>
      <c r="K2" s="496"/>
      <c r="L2" s="497"/>
      <c r="M2" s="498" t="s">
        <v>61</v>
      </c>
      <c r="N2" s="495"/>
      <c r="O2" s="496"/>
      <c r="P2" s="497"/>
      <c r="Q2" s="498" t="s">
        <v>62</v>
      </c>
      <c r="R2" s="495"/>
      <c r="S2" s="496"/>
      <c r="T2" s="497"/>
      <c r="U2" s="498" t="s">
        <v>63</v>
      </c>
      <c r="V2" s="495"/>
      <c r="W2" s="496"/>
      <c r="X2" s="497"/>
      <c r="Y2" s="499" t="s">
        <v>65</v>
      </c>
      <c r="Z2" s="495"/>
      <c r="AA2" s="496"/>
      <c r="AB2" s="497"/>
      <c r="AC2" s="498" t="s">
        <v>66</v>
      </c>
      <c r="AD2" s="495"/>
      <c r="AE2" s="496"/>
      <c r="AF2" s="497"/>
      <c r="AG2" s="498" t="s">
        <v>67</v>
      </c>
      <c r="AH2" s="495"/>
      <c r="AI2" s="496"/>
      <c r="AJ2" s="497"/>
      <c r="AK2" s="498" t="s">
        <v>68</v>
      </c>
      <c r="AL2" s="495"/>
      <c r="AM2" s="496"/>
      <c r="AN2" s="497"/>
      <c r="AO2" s="498" t="s">
        <v>69</v>
      </c>
      <c r="AP2" s="495"/>
      <c r="AQ2" s="496"/>
      <c r="AR2" s="497"/>
      <c r="AS2" s="498" t="s">
        <v>70</v>
      </c>
      <c r="AT2" s="495"/>
      <c r="AU2" s="496"/>
      <c r="AV2" s="500"/>
    </row>
    <row r="3" spans="1:48" ht="24" customHeight="1">
      <c r="A3" s="461">
        <f>August!A20</f>
        <v>1</v>
      </c>
      <c r="B3" s="465" t="str">
        <f>August!B20</f>
        <v>fr</v>
      </c>
      <c r="C3" s="478" t="str">
        <f>August!C20</f>
        <v>Normal uge 1</v>
      </c>
      <c r="D3" s="479" t="str">
        <f>August!D20</f>
        <v/>
      </c>
      <c r="E3" s="461">
        <f>September!A15</f>
        <v>1</v>
      </c>
      <c r="F3" s="465" t="str">
        <f>September!B15</f>
        <v>ma</v>
      </c>
      <c r="G3" s="478" t="str">
        <f>September!C15</f>
        <v>Normal uge 1</v>
      </c>
      <c r="H3" s="479">
        <f>September!D15</f>
        <v>35.714285714285715</v>
      </c>
      <c r="I3" s="461">
        <f>Oktober!A15</f>
        <v>1</v>
      </c>
      <c r="J3" s="465" t="str">
        <f>Oktober!B15</f>
        <v>on</v>
      </c>
      <c r="K3" s="480" t="str">
        <f>Oktober!C15</f>
        <v>Normal uge 1</v>
      </c>
      <c r="L3" s="481" t="str">
        <f>Oktober!D15</f>
        <v/>
      </c>
      <c r="M3" s="466">
        <f>November!A15</f>
        <v>1</v>
      </c>
      <c r="N3" s="467" t="str">
        <f>November!B15</f>
        <v>lø</v>
      </c>
      <c r="O3" s="482" t="str">
        <f>November!C15</f>
        <v>Weekend</v>
      </c>
      <c r="P3" s="483" t="str">
        <f>November!D15</f>
        <v/>
      </c>
      <c r="Q3" s="484">
        <f>December!A15</f>
        <v>1</v>
      </c>
      <c r="R3" s="485" t="str">
        <f>December!B15</f>
        <v>ma</v>
      </c>
      <c r="S3" s="486" t="str">
        <f>December!C15</f>
        <v>Normal uge 1</v>
      </c>
      <c r="T3" s="487">
        <f>December!D15</f>
        <v>48.714285714285715</v>
      </c>
      <c r="U3" s="461">
        <f>Januar!A15</f>
        <v>1</v>
      </c>
      <c r="V3" s="465" t="str">
        <f>Januar!B15</f>
        <v>to</v>
      </c>
      <c r="W3" s="480" t="str">
        <f>Januar!C15</f>
        <v>SH-dag</v>
      </c>
      <c r="X3" s="488" t="str">
        <f>Januar!D15</f>
        <v/>
      </c>
      <c r="Y3" s="466">
        <f>Februar!A15</f>
        <v>1</v>
      </c>
      <c r="Z3" s="467" t="str">
        <f>Februar!B15</f>
        <v>sø</v>
      </c>
      <c r="AA3" s="482" t="str">
        <f>Februar!C15</f>
        <v>Weekend</v>
      </c>
      <c r="AB3" s="483" t="str">
        <f>Februar!D15</f>
        <v/>
      </c>
      <c r="AC3" s="461">
        <f>Marts!A15</f>
        <v>1</v>
      </c>
      <c r="AD3" s="465" t="str">
        <f>Marts!B15</f>
        <v>sø</v>
      </c>
      <c r="AE3" s="480" t="str">
        <f>Marts!C15</f>
        <v>Weekend</v>
      </c>
      <c r="AF3" s="488" t="str">
        <f>Marts!D15</f>
        <v/>
      </c>
      <c r="AG3" s="466">
        <f>April!A15</f>
        <v>1</v>
      </c>
      <c r="AH3" s="467" t="str">
        <f>April!B15</f>
        <v>on</v>
      </c>
      <c r="AI3" s="467" t="str">
        <f>April!C15</f>
        <v>Normal uge 1</v>
      </c>
      <c r="AJ3" s="483" t="str">
        <f>April!D15</f>
        <v/>
      </c>
      <c r="AK3" s="461">
        <f>Maj!A15</f>
        <v>1</v>
      </c>
      <c r="AL3" s="465" t="str">
        <f>Maj!B15</f>
        <v>fr</v>
      </c>
      <c r="AM3" s="480" t="str">
        <f>Maj!C15</f>
        <v>Normal uge 1</v>
      </c>
      <c r="AN3" s="481" t="str">
        <f>Maj!D15</f>
        <v/>
      </c>
      <c r="AO3" s="466">
        <f>Juni!A15</f>
        <v>1</v>
      </c>
      <c r="AP3" s="467" t="str">
        <f>Juni!B15</f>
        <v>ma</v>
      </c>
      <c r="AQ3" s="482" t="str">
        <f>Juni!C15</f>
        <v>Normal uge 1</v>
      </c>
      <c r="AR3" s="483">
        <f>Juni!D15</f>
        <v>22.571428571428573</v>
      </c>
      <c r="AS3" s="461">
        <f>Juli!A15</f>
        <v>1</v>
      </c>
      <c r="AT3" s="465" t="str">
        <f>Juli!B15</f>
        <v>on</v>
      </c>
      <c r="AU3" s="480" t="str">
        <f>Juli!C15</f>
        <v>Normal uge 1</v>
      </c>
      <c r="AV3" s="481" t="str">
        <f>Juli!D15</f>
        <v/>
      </c>
    </row>
    <row r="4" spans="1:48" ht="24" customHeight="1">
      <c r="A4" s="331">
        <f>August!A21</f>
        <v>2</v>
      </c>
      <c r="B4" s="38" t="str">
        <f>August!B21</f>
        <v>lø</v>
      </c>
      <c r="C4" s="70" t="str">
        <f>August!C21</f>
        <v>Weekend</v>
      </c>
      <c r="D4" s="332" t="str">
        <f>August!D21</f>
        <v/>
      </c>
      <c r="E4" s="329">
        <f>September!A16</f>
        <v>2</v>
      </c>
      <c r="F4" s="330" t="str">
        <f>September!B16</f>
        <v>ti</v>
      </c>
      <c r="G4" s="69" t="str">
        <f>September!C16</f>
        <v>Normal uge 1</v>
      </c>
      <c r="H4" s="71" t="str">
        <f>September!D16</f>
        <v/>
      </c>
      <c r="I4" s="329">
        <f>Oktober!A16</f>
        <v>2</v>
      </c>
      <c r="J4" s="330" t="str">
        <f>Oktober!B16</f>
        <v>to</v>
      </c>
      <c r="K4" s="471" t="str">
        <f>Oktober!C16</f>
        <v>Normal uge 1</v>
      </c>
      <c r="L4" s="473" t="str">
        <f>Oktober!D16</f>
        <v/>
      </c>
      <c r="M4" s="459">
        <f>November!A16</f>
        <v>2</v>
      </c>
      <c r="N4" s="460" t="str">
        <f>November!B16</f>
        <v>sø</v>
      </c>
      <c r="O4" s="472" t="str">
        <f>November!C16</f>
        <v>Weekend</v>
      </c>
      <c r="P4" s="475" t="str">
        <f>November!D16</f>
        <v/>
      </c>
      <c r="Q4" s="470">
        <f>December!A16</f>
        <v>2</v>
      </c>
      <c r="R4" s="468" t="str">
        <f>December!B16</f>
        <v>ti</v>
      </c>
      <c r="S4" s="469" t="str">
        <f>December!C16</f>
        <v>Normal uge 1</v>
      </c>
      <c r="T4" s="476" t="str">
        <f>December!D16</f>
        <v/>
      </c>
      <c r="U4" s="329">
        <f>Januar!A16</f>
        <v>2</v>
      </c>
      <c r="V4" s="330" t="str">
        <f>Januar!B16</f>
        <v>fr</v>
      </c>
      <c r="W4" s="471" t="str">
        <f>Januar!C16</f>
        <v>Normal uge 1</v>
      </c>
      <c r="X4" s="477" t="str">
        <f>Januar!D16</f>
        <v/>
      </c>
      <c r="Y4" s="459">
        <f>Februar!A16</f>
        <v>2</v>
      </c>
      <c r="Z4" s="460" t="str">
        <f>Februar!B16</f>
        <v>ma</v>
      </c>
      <c r="AA4" s="472" t="str">
        <f>Februar!C16</f>
        <v>Normal uge 1</v>
      </c>
      <c r="AB4" s="475">
        <f>Februar!D16</f>
        <v>5.5714285714285712</v>
      </c>
      <c r="AC4" s="329">
        <f>Marts!A16</f>
        <v>2</v>
      </c>
      <c r="AD4" s="330" t="str">
        <f>Marts!B16</f>
        <v>ma</v>
      </c>
      <c r="AE4" s="471" t="str">
        <f>Marts!C16</f>
        <v>Normal uge 1</v>
      </c>
      <c r="AF4" s="477">
        <f>Marts!D16</f>
        <v>9.5714285714285712</v>
      </c>
      <c r="AG4" s="459">
        <f>April!A16</f>
        <v>2</v>
      </c>
      <c r="AH4" s="460" t="str">
        <f>April!B16</f>
        <v>to</v>
      </c>
      <c r="AI4" s="460" t="str">
        <f>April!C16</f>
        <v>SH-dag</v>
      </c>
      <c r="AJ4" s="475" t="str">
        <f>April!D16</f>
        <v/>
      </c>
      <c r="AK4" s="329">
        <f>Maj!A16</f>
        <v>2</v>
      </c>
      <c r="AL4" s="330" t="str">
        <f>Maj!B16</f>
        <v>lø</v>
      </c>
      <c r="AM4" s="471" t="str">
        <f>Maj!C16</f>
        <v>Weekend</v>
      </c>
      <c r="AN4" s="473" t="str">
        <f>Maj!D16</f>
        <v/>
      </c>
      <c r="AO4" s="459">
        <f>Juni!A16</f>
        <v>2</v>
      </c>
      <c r="AP4" s="460" t="str">
        <f>Juni!B16</f>
        <v>ti</v>
      </c>
      <c r="AQ4" s="472" t="str">
        <f>Juni!C16</f>
        <v>Normal uge 1</v>
      </c>
      <c r="AR4" s="475" t="str">
        <f>Juni!D16</f>
        <v/>
      </c>
      <c r="AS4" s="329">
        <f>Juli!A16</f>
        <v>2</v>
      </c>
      <c r="AT4" s="330" t="str">
        <f>Juli!B16</f>
        <v>to</v>
      </c>
      <c r="AU4" s="471" t="str">
        <f>Juli!C16</f>
        <v>Normal uge 1</v>
      </c>
      <c r="AV4" s="473" t="str">
        <f>Juli!D16</f>
        <v/>
      </c>
    </row>
    <row r="5" spans="1:48" ht="24" customHeight="1">
      <c r="A5" s="331">
        <f>August!A22</f>
        <v>3</v>
      </c>
      <c r="B5" s="38" t="str">
        <f>August!B22</f>
        <v>sø</v>
      </c>
      <c r="C5" s="70" t="str">
        <f>August!C22</f>
        <v>Weekend</v>
      </c>
      <c r="D5" s="332" t="str">
        <f>August!D22</f>
        <v/>
      </c>
      <c r="E5" s="329">
        <f>September!A17</f>
        <v>3</v>
      </c>
      <c r="F5" s="330" t="str">
        <f>September!B17</f>
        <v>on</v>
      </c>
      <c r="G5" s="69" t="str">
        <f>September!C17</f>
        <v>Normal uge 1</v>
      </c>
      <c r="H5" s="71" t="str">
        <f>September!D17</f>
        <v/>
      </c>
      <c r="I5" s="329">
        <f>Oktober!A17</f>
        <v>3</v>
      </c>
      <c r="J5" s="330" t="str">
        <f>Oktober!B17</f>
        <v>fr</v>
      </c>
      <c r="K5" s="471" t="str">
        <f>Oktober!C17</f>
        <v>Normal uge 1</v>
      </c>
      <c r="L5" s="473" t="str">
        <f>Oktober!D17</f>
        <v/>
      </c>
      <c r="M5" s="459">
        <f>November!A17</f>
        <v>3</v>
      </c>
      <c r="N5" s="460" t="str">
        <f>November!B17</f>
        <v>ma</v>
      </c>
      <c r="O5" s="472" t="str">
        <f>November!C17</f>
        <v>Normal uge 1</v>
      </c>
      <c r="P5" s="475">
        <f>November!D17</f>
        <v>44.714285714285715</v>
      </c>
      <c r="Q5" s="470">
        <f>December!A17</f>
        <v>3</v>
      </c>
      <c r="R5" s="468" t="str">
        <f>December!B17</f>
        <v>on</v>
      </c>
      <c r="S5" s="469" t="str">
        <f>December!C17</f>
        <v>Normal uge 1</v>
      </c>
      <c r="T5" s="476" t="str">
        <f>December!D17</f>
        <v/>
      </c>
      <c r="U5" s="329">
        <f>Januar!A17</f>
        <v>3</v>
      </c>
      <c r="V5" s="330" t="str">
        <f>Januar!B17</f>
        <v>lø</v>
      </c>
      <c r="W5" s="471" t="str">
        <f>Januar!C17</f>
        <v>Weekend</v>
      </c>
      <c r="X5" s="477" t="str">
        <f>Januar!D17</f>
        <v/>
      </c>
      <c r="Y5" s="459">
        <f>Februar!A17</f>
        <v>3</v>
      </c>
      <c r="Z5" s="460" t="str">
        <f>Februar!B17</f>
        <v>ti</v>
      </c>
      <c r="AA5" s="472" t="str">
        <f>Februar!C17</f>
        <v>Normal uge 1</v>
      </c>
      <c r="AB5" s="475" t="str">
        <f>Februar!D17</f>
        <v/>
      </c>
      <c r="AC5" s="329">
        <f>Marts!A17</f>
        <v>3</v>
      </c>
      <c r="AD5" s="330" t="str">
        <f>Marts!B17</f>
        <v>ti</v>
      </c>
      <c r="AE5" s="471" t="str">
        <f>Marts!C17</f>
        <v>Normal uge 1</v>
      </c>
      <c r="AF5" s="477" t="str">
        <f>Marts!D17</f>
        <v/>
      </c>
      <c r="AG5" s="459">
        <f>April!A17</f>
        <v>3</v>
      </c>
      <c r="AH5" s="460" t="str">
        <f>April!B17</f>
        <v>fr</v>
      </c>
      <c r="AI5" s="460" t="str">
        <f>April!C17</f>
        <v>SH-dag</v>
      </c>
      <c r="AJ5" s="475" t="str">
        <f>April!D17</f>
        <v/>
      </c>
      <c r="AK5" s="329">
        <f>Maj!A17</f>
        <v>3</v>
      </c>
      <c r="AL5" s="330" t="str">
        <f>Maj!B17</f>
        <v>sø</v>
      </c>
      <c r="AM5" s="471" t="str">
        <f>Maj!C17</f>
        <v>Weekend</v>
      </c>
      <c r="AN5" s="473" t="str">
        <f>Maj!D17</f>
        <v/>
      </c>
      <c r="AO5" s="459">
        <f>Juni!A17</f>
        <v>3</v>
      </c>
      <c r="AP5" s="460" t="str">
        <f>Juni!B17</f>
        <v>on</v>
      </c>
      <c r="AQ5" s="472" t="str">
        <f>Juni!C17</f>
        <v>Normal uge 1</v>
      </c>
      <c r="AR5" s="475" t="str">
        <f>Juni!D17</f>
        <v/>
      </c>
      <c r="AS5" s="329">
        <f>Juli!A17</f>
        <v>3</v>
      </c>
      <c r="AT5" s="330" t="str">
        <f>Juli!B17</f>
        <v>fr</v>
      </c>
      <c r="AU5" s="471" t="str">
        <f>Juli!C17</f>
        <v>Normal uge 1</v>
      </c>
      <c r="AV5" s="473" t="str">
        <f>Juli!D17</f>
        <v/>
      </c>
    </row>
    <row r="6" spans="1:48" ht="24" customHeight="1">
      <c r="A6" s="331">
        <f>August!A23</f>
        <v>4</v>
      </c>
      <c r="B6" s="38" t="str">
        <f>August!B23</f>
        <v>ma</v>
      </c>
      <c r="C6" s="70" t="str">
        <f>August!C23</f>
        <v>Normal uge 1</v>
      </c>
      <c r="D6" s="332">
        <f>August!D23</f>
        <v>31.714285714285715</v>
      </c>
      <c r="E6" s="329">
        <f>September!A18</f>
        <v>4</v>
      </c>
      <c r="F6" s="330" t="str">
        <f>September!B18</f>
        <v>to</v>
      </c>
      <c r="G6" s="69" t="str">
        <f>September!C18</f>
        <v>Normal uge 1</v>
      </c>
      <c r="H6" s="71" t="str">
        <f>September!D18</f>
        <v/>
      </c>
      <c r="I6" s="329">
        <f>Oktober!A18</f>
        <v>4</v>
      </c>
      <c r="J6" s="330" t="str">
        <f>Oktober!B18</f>
        <v>lø</v>
      </c>
      <c r="K6" s="471" t="str">
        <f>Oktober!C18</f>
        <v>Weekend</v>
      </c>
      <c r="L6" s="473" t="str">
        <f>Oktober!D18</f>
        <v/>
      </c>
      <c r="M6" s="459">
        <f>November!A18</f>
        <v>4</v>
      </c>
      <c r="N6" s="460" t="str">
        <f>November!B18</f>
        <v>ti</v>
      </c>
      <c r="O6" s="472" t="str">
        <f>November!C18</f>
        <v>Normal uge 1</v>
      </c>
      <c r="P6" s="475" t="str">
        <f>November!D18</f>
        <v/>
      </c>
      <c r="Q6" s="470">
        <f>December!A18</f>
        <v>4</v>
      </c>
      <c r="R6" s="468" t="str">
        <f>December!B18</f>
        <v>to</v>
      </c>
      <c r="S6" s="469" t="str">
        <f>December!C18</f>
        <v>Normal uge 1</v>
      </c>
      <c r="T6" s="476" t="str">
        <f>December!D18</f>
        <v/>
      </c>
      <c r="U6" s="329">
        <f>Januar!A18</f>
        <v>4</v>
      </c>
      <c r="V6" s="330" t="str">
        <f>Januar!B18</f>
        <v>sø</v>
      </c>
      <c r="W6" s="471" t="str">
        <f>Januar!C18</f>
        <v>Weekend</v>
      </c>
      <c r="X6" s="477" t="str">
        <f>Januar!D18</f>
        <v/>
      </c>
      <c r="Y6" s="459">
        <f>Februar!A18</f>
        <v>4</v>
      </c>
      <c r="Z6" s="460" t="str">
        <f>Februar!B18</f>
        <v>on</v>
      </c>
      <c r="AA6" s="472" t="str">
        <f>Februar!C18</f>
        <v>Normal uge 1</v>
      </c>
      <c r="AB6" s="475" t="str">
        <f>Februar!D18</f>
        <v/>
      </c>
      <c r="AC6" s="329">
        <f>Marts!A18</f>
        <v>4</v>
      </c>
      <c r="AD6" s="330" t="str">
        <f>Marts!B18</f>
        <v>on</v>
      </c>
      <c r="AE6" s="471" t="str">
        <f>Marts!C18</f>
        <v>Normal uge 1</v>
      </c>
      <c r="AF6" s="477" t="str">
        <f>Marts!D18</f>
        <v/>
      </c>
      <c r="AG6" s="459">
        <f>April!A18</f>
        <v>4</v>
      </c>
      <c r="AH6" s="460" t="str">
        <f>April!B18</f>
        <v>lø</v>
      </c>
      <c r="AI6" s="460" t="str">
        <f>April!C18</f>
        <v>Weekend</v>
      </c>
      <c r="AJ6" s="475" t="str">
        <f>April!D18</f>
        <v/>
      </c>
      <c r="AK6" s="329">
        <f>Maj!A18</f>
        <v>4</v>
      </c>
      <c r="AL6" s="330" t="str">
        <f>Maj!B18</f>
        <v>ma</v>
      </c>
      <c r="AM6" s="471" t="str">
        <f>Maj!C18</f>
        <v>Normal uge 1</v>
      </c>
      <c r="AN6" s="473">
        <f>Maj!D18</f>
        <v>18.571428571428573</v>
      </c>
      <c r="AO6" s="459">
        <f>Juni!A18</f>
        <v>4</v>
      </c>
      <c r="AP6" s="460" t="str">
        <f>Juni!B18</f>
        <v>to</v>
      </c>
      <c r="AQ6" s="472" t="str">
        <f>Juni!C18</f>
        <v>Normal uge 1</v>
      </c>
      <c r="AR6" s="475" t="str">
        <f>Juni!D18</f>
        <v/>
      </c>
      <c r="AS6" s="329">
        <f>Juli!A18</f>
        <v>4</v>
      </c>
      <c r="AT6" s="330" t="str">
        <f>Juli!B18</f>
        <v>lø</v>
      </c>
      <c r="AU6" s="471" t="str">
        <f>Juli!C18</f>
        <v>Weekend</v>
      </c>
      <c r="AV6" s="473" t="str">
        <f>Juli!D18</f>
        <v/>
      </c>
    </row>
    <row r="7" spans="1:48" ht="24" customHeight="1">
      <c r="A7" s="331">
        <f>August!A24</f>
        <v>5</v>
      </c>
      <c r="B7" s="38" t="str">
        <f>August!B24</f>
        <v>ti</v>
      </c>
      <c r="C7" s="70" t="str">
        <f>August!C24</f>
        <v>Normal uge 1</v>
      </c>
      <c r="D7" s="332" t="str">
        <f>August!D24</f>
        <v/>
      </c>
      <c r="E7" s="329">
        <f>September!A19</f>
        <v>5</v>
      </c>
      <c r="F7" s="330" t="str">
        <f>September!B19</f>
        <v>fr</v>
      </c>
      <c r="G7" s="69" t="str">
        <f>September!C19</f>
        <v>Normal uge 1</v>
      </c>
      <c r="H7" s="71" t="str">
        <f>September!D19</f>
        <v/>
      </c>
      <c r="I7" s="329">
        <f>Oktober!A19</f>
        <v>5</v>
      </c>
      <c r="J7" s="330" t="str">
        <f>Oktober!B19</f>
        <v>sø</v>
      </c>
      <c r="K7" s="471" t="str">
        <f>Oktober!C19</f>
        <v>Weekend</v>
      </c>
      <c r="L7" s="473" t="str">
        <f>Oktober!D19</f>
        <v/>
      </c>
      <c r="M7" s="459">
        <f>November!A19</f>
        <v>5</v>
      </c>
      <c r="N7" s="460" t="str">
        <f>November!B19</f>
        <v>on</v>
      </c>
      <c r="O7" s="472" t="str">
        <f>November!C19</f>
        <v>Normal uge 1</v>
      </c>
      <c r="P7" s="475" t="str">
        <f>November!D19</f>
        <v/>
      </c>
      <c r="Q7" s="470">
        <f>December!A19</f>
        <v>5</v>
      </c>
      <c r="R7" s="468" t="str">
        <f>December!B19</f>
        <v>fr</v>
      </c>
      <c r="S7" s="469" t="str">
        <f>December!C19</f>
        <v>Normal uge 1</v>
      </c>
      <c r="T7" s="476" t="str">
        <f>December!D19</f>
        <v/>
      </c>
      <c r="U7" s="329">
        <f>Januar!A19</f>
        <v>5</v>
      </c>
      <c r="V7" s="330" t="str">
        <f>Januar!B19</f>
        <v>ma</v>
      </c>
      <c r="W7" s="471" t="str">
        <f>Januar!C19</f>
        <v>Normal uge 1</v>
      </c>
      <c r="X7" s="477">
        <f>Januar!D19</f>
        <v>1.5714285714285714</v>
      </c>
      <c r="Y7" s="459">
        <f>Februar!A19</f>
        <v>5</v>
      </c>
      <c r="Z7" s="460" t="str">
        <f>Februar!B19</f>
        <v>to</v>
      </c>
      <c r="AA7" s="472" t="str">
        <f>Februar!C19</f>
        <v>Normal uge 1</v>
      </c>
      <c r="AB7" s="475" t="str">
        <f>Februar!D19</f>
        <v/>
      </c>
      <c r="AC7" s="329">
        <f>Marts!A19</f>
        <v>5</v>
      </c>
      <c r="AD7" s="330" t="str">
        <f>Marts!B19</f>
        <v>to</v>
      </c>
      <c r="AE7" s="471" t="str">
        <f>Marts!C19</f>
        <v>Normal uge 1</v>
      </c>
      <c r="AF7" s="477" t="str">
        <f>Marts!D19</f>
        <v/>
      </c>
      <c r="AG7" s="459">
        <f>April!A19</f>
        <v>5</v>
      </c>
      <c r="AH7" s="460" t="str">
        <f>April!B19</f>
        <v>sø</v>
      </c>
      <c r="AI7" s="460" t="str">
        <f>April!C19</f>
        <v>Weekend</v>
      </c>
      <c r="AJ7" s="475" t="str">
        <f>April!D19</f>
        <v/>
      </c>
      <c r="AK7" s="329">
        <f>Maj!A19</f>
        <v>5</v>
      </c>
      <c r="AL7" s="330" t="str">
        <f>Maj!B19</f>
        <v>ti</v>
      </c>
      <c r="AM7" s="471" t="str">
        <f>Maj!C19</f>
        <v>Normal uge 1</v>
      </c>
      <c r="AN7" s="473" t="str">
        <f>Maj!D19</f>
        <v/>
      </c>
      <c r="AO7" s="459">
        <f>Juni!A19</f>
        <v>5</v>
      </c>
      <c r="AP7" s="460" t="str">
        <f>Juni!B19</f>
        <v>fr</v>
      </c>
      <c r="AQ7" s="472" t="str">
        <f>Juni!C19</f>
        <v>Normal uge 1</v>
      </c>
      <c r="AR7" s="475" t="str">
        <f>Juni!D19</f>
        <v/>
      </c>
      <c r="AS7" s="329">
        <f>Juli!A19</f>
        <v>5</v>
      </c>
      <c r="AT7" s="330" t="str">
        <f>Juli!B19</f>
        <v>sø</v>
      </c>
      <c r="AU7" s="471" t="str">
        <f>Juli!C19</f>
        <v>Weekend</v>
      </c>
      <c r="AV7" s="473" t="str">
        <f>Juli!D19</f>
        <v/>
      </c>
    </row>
    <row r="8" spans="1:48" ht="24" customHeight="1">
      <c r="A8" s="331">
        <f>August!A25</f>
        <v>6</v>
      </c>
      <c r="B8" s="38" t="str">
        <f>August!B25</f>
        <v>on</v>
      </c>
      <c r="C8" s="70" t="str">
        <f>August!C25</f>
        <v>Normal uge 1</v>
      </c>
      <c r="D8" s="332" t="str">
        <f>August!D25</f>
        <v/>
      </c>
      <c r="E8" s="329">
        <f>September!A20</f>
        <v>6</v>
      </c>
      <c r="F8" s="330" t="str">
        <f>September!B20</f>
        <v>lø</v>
      </c>
      <c r="G8" s="69" t="str">
        <f>September!C20</f>
        <v>Weekend</v>
      </c>
      <c r="H8" s="71" t="str">
        <f>September!D20</f>
        <v/>
      </c>
      <c r="I8" s="329">
        <f>Oktober!A20</f>
        <v>6</v>
      </c>
      <c r="J8" s="330" t="str">
        <f>Oktober!B20</f>
        <v>ma</v>
      </c>
      <c r="K8" s="471" t="str">
        <f>Oktober!C20</f>
        <v>Normal uge 1</v>
      </c>
      <c r="L8" s="473">
        <f>Oktober!D20</f>
        <v>40.714285714285715</v>
      </c>
      <c r="M8" s="459">
        <f>November!A20</f>
        <v>6</v>
      </c>
      <c r="N8" s="460" t="str">
        <f>November!B20</f>
        <v>to</v>
      </c>
      <c r="O8" s="472" t="str">
        <f>November!C20</f>
        <v>Normal uge 1</v>
      </c>
      <c r="P8" s="475" t="str">
        <f>November!D20</f>
        <v/>
      </c>
      <c r="Q8" s="470">
        <f>December!A20</f>
        <v>6</v>
      </c>
      <c r="R8" s="468" t="str">
        <f>December!B20</f>
        <v>lø</v>
      </c>
      <c r="S8" s="469" t="str">
        <f>December!C20</f>
        <v>Weekend</v>
      </c>
      <c r="T8" s="476" t="str">
        <f>December!D20</f>
        <v/>
      </c>
      <c r="U8" s="329">
        <f>Januar!A20</f>
        <v>6</v>
      </c>
      <c r="V8" s="330" t="str">
        <f>Januar!B20</f>
        <v>ti</v>
      </c>
      <c r="W8" s="471" t="str">
        <f>Januar!C20</f>
        <v>Normal uge 1</v>
      </c>
      <c r="X8" s="477" t="str">
        <f>Januar!D20</f>
        <v/>
      </c>
      <c r="Y8" s="459">
        <f>Februar!A20</f>
        <v>6</v>
      </c>
      <c r="Z8" s="460" t="str">
        <f>Februar!B20</f>
        <v>fr</v>
      </c>
      <c r="AA8" s="472" t="str">
        <f>Februar!C20</f>
        <v>Normal uge 1</v>
      </c>
      <c r="AB8" s="475" t="str">
        <f>Februar!D20</f>
        <v/>
      </c>
      <c r="AC8" s="329">
        <f>Marts!A20</f>
        <v>6</v>
      </c>
      <c r="AD8" s="330" t="str">
        <f>Marts!B20</f>
        <v>fr</v>
      </c>
      <c r="AE8" s="471" t="str">
        <f>Marts!C20</f>
        <v>Normal uge 1</v>
      </c>
      <c r="AF8" s="477" t="str">
        <f>Marts!D20</f>
        <v/>
      </c>
      <c r="AG8" s="459">
        <f>April!A20</f>
        <v>6</v>
      </c>
      <c r="AH8" s="460" t="str">
        <f>April!B20</f>
        <v>ma</v>
      </c>
      <c r="AI8" s="460" t="str">
        <f>April!C20</f>
        <v>SH-dag</v>
      </c>
      <c r="AJ8" s="475">
        <f>April!D20</f>
        <v>14.571428571428571</v>
      </c>
      <c r="AK8" s="329">
        <f>Maj!A20</f>
        <v>6</v>
      </c>
      <c r="AL8" s="330" t="str">
        <f>Maj!B20</f>
        <v>on</v>
      </c>
      <c r="AM8" s="471" t="str">
        <f>Maj!C20</f>
        <v>Normal uge 1</v>
      </c>
      <c r="AN8" s="473" t="str">
        <f>Maj!D20</f>
        <v/>
      </c>
      <c r="AO8" s="459">
        <f>Juni!A20</f>
        <v>6</v>
      </c>
      <c r="AP8" s="460" t="str">
        <f>Juni!B20</f>
        <v>lø</v>
      </c>
      <c r="AQ8" s="472" t="str">
        <f>Juni!C20</f>
        <v>Weekend</v>
      </c>
      <c r="AR8" s="475" t="str">
        <f>Juni!D20</f>
        <v/>
      </c>
      <c r="AS8" s="329">
        <f>Juli!A20</f>
        <v>6</v>
      </c>
      <c r="AT8" s="330" t="str">
        <f>Juli!B20</f>
        <v>ma</v>
      </c>
      <c r="AU8" s="471" t="str">
        <f>Juli!C20</f>
        <v>Normal uge 1</v>
      </c>
      <c r="AV8" s="473">
        <f>Juli!D20</f>
        <v>27.571428571428573</v>
      </c>
    </row>
    <row r="9" spans="1:48" ht="24" customHeight="1">
      <c r="A9" s="331">
        <f>August!A26</f>
        <v>7</v>
      </c>
      <c r="B9" s="38" t="str">
        <f>August!B26</f>
        <v>to</v>
      </c>
      <c r="C9" s="70" t="str">
        <f>August!C26</f>
        <v>Normal uge 1</v>
      </c>
      <c r="D9" s="332" t="str">
        <f>August!D26</f>
        <v/>
      </c>
      <c r="E9" s="329">
        <f>September!A21</f>
        <v>7</v>
      </c>
      <c r="F9" s="330" t="str">
        <f>September!B21</f>
        <v>sø</v>
      </c>
      <c r="G9" s="69" t="str">
        <f>September!C21</f>
        <v>Weekend</v>
      </c>
      <c r="H9" s="71" t="str">
        <f>September!D21</f>
        <v/>
      </c>
      <c r="I9" s="329">
        <f>Oktober!A21</f>
        <v>7</v>
      </c>
      <c r="J9" s="330" t="str">
        <f>Oktober!B21</f>
        <v>ti</v>
      </c>
      <c r="K9" s="471" t="str">
        <f>Oktober!C21</f>
        <v>Normal uge 1</v>
      </c>
      <c r="L9" s="473" t="str">
        <f>Oktober!D21</f>
        <v/>
      </c>
      <c r="M9" s="459">
        <f>November!A21</f>
        <v>7</v>
      </c>
      <c r="N9" s="460" t="str">
        <f>November!B21</f>
        <v>fr</v>
      </c>
      <c r="O9" s="472" t="str">
        <f>November!C21</f>
        <v>Normal uge 1</v>
      </c>
      <c r="P9" s="475" t="str">
        <f>November!D21</f>
        <v/>
      </c>
      <c r="Q9" s="470">
        <f>December!A21</f>
        <v>7</v>
      </c>
      <c r="R9" s="468" t="str">
        <f>December!B21</f>
        <v>sø</v>
      </c>
      <c r="S9" s="469" t="str">
        <f>December!C21</f>
        <v>Weekend</v>
      </c>
      <c r="T9" s="476" t="str">
        <f>December!D21</f>
        <v/>
      </c>
      <c r="U9" s="329">
        <f>Januar!A21</f>
        <v>7</v>
      </c>
      <c r="V9" s="330" t="str">
        <f>Januar!B21</f>
        <v>on</v>
      </c>
      <c r="W9" s="471" t="str">
        <f>Januar!C21</f>
        <v>Normal uge 1</v>
      </c>
      <c r="X9" s="477" t="str">
        <f>Januar!D21</f>
        <v/>
      </c>
      <c r="Y9" s="459">
        <f>Februar!A21</f>
        <v>7</v>
      </c>
      <c r="Z9" s="460" t="str">
        <f>Februar!B21</f>
        <v>lø</v>
      </c>
      <c r="AA9" s="472" t="str">
        <f>Februar!C21</f>
        <v>Weekend</v>
      </c>
      <c r="AB9" s="475" t="str">
        <f>Februar!D21</f>
        <v/>
      </c>
      <c r="AC9" s="329">
        <f>Marts!A21</f>
        <v>7</v>
      </c>
      <c r="AD9" s="330" t="str">
        <f>Marts!B21</f>
        <v>lø</v>
      </c>
      <c r="AE9" s="471" t="str">
        <f>Marts!C21</f>
        <v>Weekend</v>
      </c>
      <c r="AF9" s="477" t="str">
        <f>Marts!D21</f>
        <v/>
      </c>
      <c r="AG9" s="459">
        <f>April!A21</f>
        <v>7</v>
      </c>
      <c r="AH9" s="460" t="str">
        <f>April!B21</f>
        <v>ti</v>
      </c>
      <c r="AI9" s="460" t="str">
        <f>April!C21</f>
        <v>Normal uge 1</v>
      </c>
      <c r="AJ9" s="475" t="str">
        <f>April!D21</f>
        <v/>
      </c>
      <c r="AK9" s="329">
        <f>Maj!A21</f>
        <v>7</v>
      </c>
      <c r="AL9" s="330" t="str">
        <f>Maj!B21</f>
        <v>to</v>
      </c>
      <c r="AM9" s="471" t="str">
        <f>Maj!C21</f>
        <v>Normal uge 1</v>
      </c>
      <c r="AN9" s="473" t="str">
        <f>Maj!D21</f>
        <v/>
      </c>
      <c r="AO9" s="459">
        <f>Juni!A21</f>
        <v>7</v>
      </c>
      <c r="AP9" s="460" t="str">
        <f>Juni!B21</f>
        <v>sø</v>
      </c>
      <c r="AQ9" s="472" t="str">
        <f>Juni!C21</f>
        <v>Weekend</v>
      </c>
      <c r="AR9" s="475" t="str">
        <f>Juni!D21</f>
        <v/>
      </c>
      <c r="AS9" s="329">
        <f>Juli!A21</f>
        <v>7</v>
      </c>
      <c r="AT9" s="330" t="str">
        <f>Juli!B21</f>
        <v>ti</v>
      </c>
      <c r="AU9" s="471" t="str">
        <f>Juli!C21</f>
        <v>Normal uge 1</v>
      </c>
      <c r="AV9" s="473" t="str">
        <f>Juli!D21</f>
        <v/>
      </c>
    </row>
    <row r="10" spans="1:48" ht="24" customHeight="1">
      <c r="A10" s="331">
        <f>August!A27</f>
        <v>8</v>
      </c>
      <c r="B10" s="38" t="str">
        <f>August!B27</f>
        <v>fr</v>
      </c>
      <c r="C10" s="70" t="str">
        <f>August!C27</f>
        <v>Normal uge 1</v>
      </c>
      <c r="D10" s="332" t="str">
        <f>August!D27</f>
        <v/>
      </c>
      <c r="E10" s="329">
        <f>September!A22</f>
        <v>8</v>
      </c>
      <c r="F10" s="330" t="str">
        <f>September!B22</f>
        <v>ma</v>
      </c>
      <c r="G10" s="69" t="str">
        <f>September!C22</f>
        <v>Normal uge 1</v>
      </c>
      <c r="H10" s="71">
        <f>September!D22</f>
        <v>36.714285714285715</v>
      </c>
      <c r="I10" s="329">
        <f>Oktober!A22</f>
        <v>8</v>
      </c>
      <c r="J10" s="330" t="str">
        <f>Oktober!B22</f>
        <v>on</v>
      </c>
      <c r="K10" s="471" t="str">
        <f>Oktober!C22</f>
        <v>Normal uge 1</v>
      </c>
      <c r="L10" s="473" t="str">
        <f>Oktober!D22</f>
        <v/>
      </c>
      <c r="M10" s="459">
        <f>November!A22</f>
        <v>8</v>
      </c>
      <c r="N10" s="460" t="str">
        <f>November!B22</f>
        <v>lø</v>
      </c>
      <c r="O10" s="472" t="str">
        <f>November!C22</f>
        <v>Weekend</v>
      </c>
      <c r="P10" s="475" t="str">
        <f>November!D22</f>
        <v/>
      </c>
      <c r="Q10" s="470">
        <f>December!A22</f>
        <v>8</v>
      </c>
      <c r="R10" s="468" t="str">
        <f>December!B22</f>
        <v>ma</v>
      </c>
      <c r="S10" s="469" t="str">
        <f>December!C22</f>
        <v>Normal uge 1</v>
      </c>
      <c r="T10" s="476">
        <f>December!D22</f>
        <v>49.714285714285715</v>
      </c>
      <c r="U10" s="329">
        <f>Januar!A22</f>
        <v>8</v>
      </c>
      <c r="V10" s="330" t="str">
        <f>Januar!B22</f>
        <v>to</v>
      </c>
      <c r="W10" s="471" t="str">
        <f>Januar!C22</f>
        <v>Normal uge 1</v>
      </c>
      <c r="X10" s="477" t="str">
        <f>Januar!D22</f>
        <v/>
      </c>
      <c r="Y10" s="459">
        <f>Februar!A22</f>
        <v>8</v>
      </c>
      <c r="Z10" s="460" t="str">
        <f>Februar!B22</f>
        <v>sø</v>
      </c>
      <c r="AA10" s="472" t="str">
        <f>Februar!C22</f>
        <v>Weekend</v>
      </c>
      <c r="AB10" s="475" t="str">
        <f>Februar!D22</f>
        <v/>
      </c>
      <c r="AC10" s="329">
        <f>Marts!A22</f>
        <v>8</v>
      </c>
      <c r="AD10" s="330" t="str">
        <f>Marts!B22</f>
        <v>sø</v>
      </c>
      <c r="AE10" s="471" t="str">
        <f>Marts!C22</f>
        <v>Weekend</v>
      </c>
      <c r="AF10" s="477" t="str">
        <f>Marts!D22</f>
        <v/>
      </c>
      <c r="AG10" s="459">
        <f>April!A22</f>
        <v>8</v>
      </c>
      <c r="AH10" s="460" t="str">
        <f>April!B22</f>
        <v>on</v>
      </c>
      <c r="AI10" s="460" t="str">
        <f>April!C22</f>
        <v>Normal uge 1</v>
      </c>
      <c r="AJ10" s="475" t="str">
        <f>April!D22</f>
        <v/>
      </c>
      <c r="AK10" s="329">
        <f>Maj!A22</f>
        <v>8</v>
      </c>
      <c r="AL10" s="330" t="str">
        <f>Maj!B22</f>
        <v>fr</v>
      </c>
      <c r="AM10" s="471" t="str">
        <f>Maj!C22</f>
        <v>Normal uge 1</v>
      </c>
      <c r="AN10" s="473" t="str">
        <f>Maj!D22</f>
        <v/>
      </c>
      <c r="AO10" s="459">
        <f>Juni!A22</f>
        <v>8</v>
      </c>
      <c r="AP10" s="460" t="str">
        <f>Juni!B22</f>
        <v>ma</v>
      </c>
      <c r="AQ10" s="472" t="str">
        <f>Juni!C22</f>
        <v>Normal uge 1</v>
      </c>
      <c r="AR10" s="475">
        <f>Juni!D22</f>
        <v>23.571428571428573</v>
      </c>
      <c r="AS10" s="329">
        <f>Juli!A22</f>
        <v>8</v>
      </c>
      <c r="AT10" s="330" t="str">
        <f>Juli!B22</f>
        <v>on</v>
      </c>
      <c r="AU10" s="471" t="str">
        <f>Juli!C22</f>
        <v>Normal uge 1</v>
      </c>
      <c r="AV10" s="473" t="str">
        <f>Juli!D22</f>
        <v/>
      </c>
    </row>
    <row r="11" spans="1:48" ht="24" customHeight="1">
      <c r="A11" s="331">
        <f>August!A28</f>
        <v>9</v>
      </c>
      <c r="B11" s="38" t="str">
        <f>August!B28</f>
        <v>lø</v>
      </c>
      <c r="C11" s="70" t="str">
        <f>August!C28</f>
        <v>Weekend</v>
      </c>
      <c r="D11" s="332" t="str">
        <f>August!D28</f>
        <v/>
      </c>
      <c r="E11" s="329">
        <f>September!A23</f>
        <v>9</v>
      </c>
      <c r="F11" s="330" t="str">
        <f>September!B23</f>
        <v>ti</v>
      </c>
      <c r="G11" s="69" t="str">
        <f>September!C23</f>
        <v>Normal uge 1</v>
      </c>
      <c r="H11" s="71" t="str">
        <f>September!D23</f>
        <v/>
      </c>
      <c r="I11" s="329">
        <f>Oktober!A23</f>
        <v>9</v>
      </c>
      <c r="J11" s="330" t="str">
        <f>Oktober!B23</f>
        <v>to</v>
      </c>
      <c r="K11" s="471" t="str">
        <f>Oktober!C23</f>
        <v>Normal uge 1</v>
      </c>
      <c r="L11" s="473" t="str">
        <f>Oktober!D23</f>
        <v/>
      </c>
      <c r="M11" s="459">
        <f>November!A23</f>
        <v>9</v>
      </c>
      <c r="N11" s="460" t="str">
        <f>November!B23</f>
        <v>sø</v>
      </c>
      <c r="O11" s="472" t="str">
        <f>November!C23</f>
        <v>Weekend</v>
      </c>
      <c r="P11" s="475" t="str">
        <f>November!D23</f>
        <v/>
      </c>
      <c r="Q11" s="470">
        <f>December!A23</f>
        <v>9</v>
      </c>
      <c r="R11" s="468" t="str">
        <f>December!B23</f>
        <v>ti</v>
      </c>
      <c r="S11" s="469" t="str">
        <f>December!C23</f>
        <v>Normal uge 1</v>
      </c>
      <c r="T11" s="476" t="str">
        <f>December!D23</f>
        <v/>
      </c>
      <c r="U11" s="329">
        <f>Januar!A23</f>
        <v>9</v>
      </c>
      <c r="V11" s="330" t="str">
        <f>Januar!B23</f>
        <v>fr</v>
      </c>
      <c r="W11" s="471" t="str">
        <f>Januar!C23</f>
        <v>Normal uge 1</v>
      </c>
      <c r="X11" s="477" t="str">
        <f>Januar!D23</f>
        <v/>
      </c>
      <c r="Y11" s="459">
        <f>Februar!A23</f>
        <v>9</v>
      </c>
      <c r="Z11" s="460" t="str">
        <f>Februar!B23</f>
        <v>ma</v>
      </c>
      <c r="AA11" s="472" t="str">
        <f>Februar!C23</f>
        <v>Normal uge 1</v>
      </c>
      <c r="AB11" s="475">
        <f>Februar!D23</f>
        <v>6.5714285714285712</v>
      </c>
      <c r="AC11" s="329">
        <f>Marts!A23</f>
        <v>9</v>
      </c>
      <c r="AD11" s="330" t="str">
        <f>Marts!B23</f>
        <v>ma</v>
      </c>
      <c r="AE11" s="471" t="str">
        <f>Marts!C23</f>
        <v>Normal uge 1</v>
      </c>
      <c r="AF11" s="477">
        <f>Marts!D23</f>
        <v>10.571428571428571</v>
      </c>
      <c r="AG11" s="459">
        <f>April!A23</f>
        <v>9</v>
      </c>
      <c r="AH11" s="460" t="str">
        <f>April!B23</f>
        <v>to</v>
      </c>
      <c r="AI11" s="460" t="str">
        <f>April!C23</f>
        <v>Normal uge 1</v>
      </c>
      <c r="AJ11" s="475" t="str">
        <f>April!D23</f>
        <v/>
      </c>
      <c r="AK11" s="329">
        <f>Maj!A23</f>
        <v>9</v>
      </c>
      <c r="AL11" s="330" t="str">
        <f>Maj!B23</f>
        <v>lø</v>
      </c>
      <c r="AM11" s="471" t="str">
        <f>Maj!C23</f>
        <v>Weekend</v>
      </c>
      <c r="AN11" s="473" t="str">
        <f>Maj!D23</f>
        <v/>
      </c>
      <c r="AO11" s="459">
        <f>Juni!A23</f>
        <v>9</v>
      </c>
      <c r="AP11" s="460" t="str">
        <f>Juni!B23</f>
        <v>ti</v>
      </c>
      <c r="AQ11" s="472" t="str">
        <f>Juni!C23</f>
        <v>Normal uge 1</v>
      </c>
      <c r="AR11" s="475" t="str">
        <f>Juni!D23</f>
        <v/>
      </c>
      <c r="AS11" s="329">
        <f>Juli!A23</f>
        <v>9</v>
      </c>
      <c r="AT11" s="330" t="str">
        <f>Juli!B23</f>
        <v>to</v>
      </c>
      <c r="AU11" s="471" t="str">
        <f>Juli!C23</f>
        <v>Normal uge 1</v>
      </c>
      <c r="AV11" s="473" t="str">
        <f>Juli!D23</f>
        <v/>
      </c>
    </row>
    <row r="12" spans="1:48" ht="24" customHeight="1">
      <c r="A12" s="331">
        <f>August!A29</f>
        <v>10</v>
      </c>
      <c r="B12" s="38" t="str">
        <f>August!B29</f>
        <v>sø</v>
      </c>
      <c r="C12" s="70" t="str">
        <f>August!C29</f>
        <v>Weekend</v>
      </c>
      <c r="D12" s="332" t="str">
        <f>August!D29</f>
        <v/>
      </c>
      <c r="E12" s="329">
        <f>September!A24</f>
        <v>10</v>
      </c>
      <c r="F12" s="330" t="str">
        <f>September!B24</f>
        <v>on</v>
      </c>
      <c r="G12" s="69" t="str">
        <f>September!C24</f>
        <v>Normal uge 1</v>
      </c>
      <c r="H12" s="71" t="str">
        <f>September!D24</f>
        <v/>
      </c>
      <c r="I12" s="329">
        <f>Oktober!A24</f>
        <v>10</v>
      </c>
      <c r="J12" s="330" t="str">
        <f>Oktober!B24</f>
        <v>fr</v>
      </c>
      <c r="K12" s="471" t="str">
        <f>Oktober!C24</f>
        <v>Normal uge 1</v>
      </c>
      <c r="L12" s="473" t="str">
        <f>Oktober!D24</f>
        <v/>
      </c>
      <c r="M12" s="459">
        <f>November!A24</f>
        <v>10</v>
      </c>
      <c r="N12" s="460" t="str">
        <f>November!B24</f>
        <v>ma</v>
      </c>
      <c r="O12" s="472" t="str">
        <f>November!C24</f>
        <v>Normal uge 1</v>
      </c>
      <c r="P12" s="475">
        <f>November!D24</f>
        <v>45.714285714285715</v>
      </c>
      <c r="Q12" s="470">
        <f>December!A24</f>
        <v>10</v>
      </c>
      <c r="R12" s="468" t="str">
        <f>December!B24</f>
        <v>on</v>
      </c>
      <c r="S12" s="469" t="str">
        <f>December!C24</f>
        <v>Normal uge 1</v>
      </c>
      <c r="T12" s="476" t="str">
        <f>December!D24</f>
        <v/>
      </c>
      <c r="U12" s="329">
        <f>Januar!A24</f>
        <v>10</v>
      </c>
      <c r="V12" s="330" t="str">
        <f>Januar!B24</f>
        <v>lø</v>
      </c>
      <c r="W12" s="471" t="str">
        <f>Januar!C24</f>
        <v>Weekend</v>
      </c>
      <c r="X12" s="477" t="str">
        <f>Januar!D24</f>
        <v/>
      </c>
      <c r="Y12" s="459">
        <f>Februar!A24</f>
        <v>10</v>
      </c>
      <c r="Z12" s="460" t="str">
        <f>Februar!B24</f>
        <v>ti</v>
      </c>
      <c r="AA12" s="472" t="str">
        <f>Februar!C24</f>
        <v>Normal uge 1</v>
      </c>
      <c r="AB12" s="475" t="str">
        <f>Februar!D24</f>
        <v/>
      </c>
      <c r="AC12" s="329">
        <f>Marts!A24</f>
        <v>10</v>
      </c>
      <c r="AD12" s="330" t="str">
        <f>Marts!B24</f>
        <v>ti</v>
      </c>
      <c r="AE12" s="471" t="str">
        <f>Marts!C24</f>
        <v>Normal uge 1</v>
      </c>
      <c r="AF12" s="477" t="str">
        <f>Marts!D24</f>
        <v/>
      </c>
      <c r="AG12" s="459">
        <f>April!A24</f>
        <v>10</v>
      </c>
      <c r="AH12" s="460" t="str">
        <f>April!B24</f>
        <v>fr</v>
      </c>
      <c r="AI12" s="460" t="str">
        <f>April!C24</f>
        <v>Normal uge 1</v>
      </c>
      <c r="AJ12" s="475" t="str">
        <f>April!D24</f>
        <v/>
      </c>
      <c r="AK12" s="329">
        <f>Maj!A24</f>
        <v>10</v>
      </c>
      <c r="AL12" s="330" t="str">
        <f>Maj!B24</f>
        <v>sø</v>
      </c>
      <c r="AM12" s="471" t="str">
        <f>Maj!C24</f>
        <v>Weekend</v>
      </c>
      <c r="AN12" s="473" t="str">
        <f>Maj!D24</f>
        <v/>
      </c>
      <c r="AO12" s="459">
        <f>Juni!A24</f>
        <v>10</v>
      </c>
      <c r="AP12" s="460" t="str">
        <f>Juni!B24</f>
        <v>on</v>
      </c>
      <c r="AQ12" s="472" t="str">
        <f>Juni!C24</f>
        <v>Normal uge 1</v>
      </c>
      <c r="AR12" s="475" t="str">
        <f>Juni!D24</f>
        <v/>
      </c>
      <c r="AS12" s="329">
        <f>Juli!A24</f>
        <v>10</v>
      </c>
      <c r="AT12" s="330" t="str">
        <f>Juli!B24</f>
        <v>fr</v>
      </c>
      <c r="AU12" s="471" t="str">
        <f>Juli!C24</f>
        <v>Normal uge 1</v>
      </c>
      <c r="AV12" s="473" t="str">
        <f>Juli!D24</f>
        <v/>
      </c>
    </row>
    <row r="13" spans="1:48" ht="24" customHeight="1">
      <c r="A13" s="331">
        <f>August!A30</f>
        <v>11</v>
      </c>
      <c r="B13" s="38" t="str">
        <f>August!B30</f>
        <v>ma</v>
      </c>
      <c r="C13" s="70" t="str">
        <f>August!C30</f>
        <v>Normal uge 1</v>
      </c>
      <c r="D13" s="332">
        <f>August!D30</f>
        <v>32.714285714285715</v>
      </c>
      <c r="E13" s="329">
        <f>September!A25</f>
        <v>11</v>
      </c>
      <c r="F13" s="330" t="str">
        <f>September!B25</f>
        <v>to</v>
      </c>
      <c r="G13" s="69" t="str">
        <f>September!C25</f>
        <v>Normal uge 1</v>
      </c>
      <c r="H13" s="71" t="str">
        <f>September!D25</f>
        <v/>
      </c>
      <c r="I13" s="329">
        <f>Oktober!A25</f>
        <v>11</v>
      </c>
      <c r="J13" s="330" t="str">
        <f>Oktober!B25</f>
        <v>lø</v>
      </c>
      <c r="K13" s="471" t="str">
        <f>Oktober!C25</f>
        <v>Weekend</v>
      </c>
      <c r="L13" s="473" t="str">
        <f>Oktober!D25</f>
        <v/>
      </c>
      <c r="M13" s="459">
        <f>November!A25</f>
        <v>11</v>
      </c>
      <c r="N13" s="460" t="str">
        <f>November!B25</f>
        <v>ti</v>
      </c>
      <c r="O13" s="472" t="str">
        <f>November!C25</f>
        <v>Normal uge 1</v>
      </c>
      <c r="P13" s="475" t="str">
        <f>November!D25</f>
        <v/>
      </c>
      <c r="Q13" s="470">
        <f>December!A25</f>
        <v>11</v>
      </c>
      <c r="R13" s="468" t="str">
        <f>December!B25</f>
        <v>to</v>
      </c>
      <c r="S13" s="469" t="str">
        <f>December!C25</f>
        <v>Normal uge 1</v>
      </c>
      <c r="T13" s="476" t="str">
        <f>December!D25</f>
        <v/>
      </c>
      <c r="U13" s="329">
        <f>Januar!A25</f>
        <v>11</v>
      </c>
      <c r="V13" s="330" t="str">
        <f>Januar!B25</f>
        <v>sø</v>
      </c>
      <c r="W13" s="471" t="str">
        <f>Januar!C25</f>
        <v>Weekend</v>
      </c>
      <c r="X13" s="477" t="str">
        <f>Januar!D25</f>
        <v/>
      </c>
      <c r="Y13" s="459">
        <f>Februar!A25</f>
        <v>11</v>
      </c>
      <c r="Z13" s="460" t="str">
        <f>Februar!B25</f>
        <v>on</v>
      </c>
      <c r="AA13" s="472" t="str">
        <f>Februar!C25</f>
        <v>Normal uge 1</v>
      </c>
      <c r="AB13" s="475" t="str">
        <f>Februar!D25</f>
        <v/>
      </c>
      <c r="AC13" s="329">
        <f>Marts!A25</f>
        <v>11</v>
      </c>
      <c r="AD13" s="330" t="str">
        <f>Marts!B25</f>
        <v>on</v>
      </c>
      <c r="AE13" s="471" t="str">
        <f>Marts!C25</f>
        <v>Normal uge 1</v>
      </c>
      <c r="AF13" s="477" t="str">
        <f>Marts!D25</f>
        <v/>
      </c>
      <c r="AG13" s="459">
        <f>April!A25</f>
        <v>11</v>
      </c>
      <c r="AH13" s="460" t="str">
        <f>April!B25</f>
        <v>lø</v>
      </c>
      <c r="AI13" s="460" t="str">
        <f>April!C25</f>
        <v>Weekend</v>
      </c>
      <c r="AJ13" s="475" t="str">
        <f>April!D25</f>
        <v/>
      </c>
      <c r="AK13" s="329">
        <f>Maj!A25</f>
        <v>11</v>
      </c>
      <c r="AL13" s="330" t="str">
        <f>Maj!B25</f>
        <v>ma</v>
      </c>
      <c r="AM13" s="471" t="str">
        <f>Maj!C25</f>
        <v>Normal uge 1</v>
      </c>
      <c r="AN13" s="473">
        <f>Maj!D25</f>
        <v>19.571428571428573</v>
      </c>
      <c r="AO13" s="459">
        <f>Juni!A25</f>
        <v>11</v>
      </c>
      <c r="AP13" s="460" t="str">
        <f>Juni!B25</f>
        <v>to</v>
      </c>
      <c r="AQ13" s="472" t="str">
        <f>Juni!C25</f>
        <v>Normal uge 1</v>
      </c>
      <c r="AR13" s="475" t="str">
        <f>Juni!D25</f>
        <v/>
      </c>
      <c r="AS13" s="329">
        <f>Juli!A25</f>
        <v>11</v>
      </c>
      <c r="AT13" s="330" t="str">
        <f>Juli!B25</f>
        <v>lø</v>
      </c>
      <c r="AU13" s="471" t="str">
        <f>Juli!C25</f>
        <v>Weekend</v>
      </c>
      <c r="AV13" s="473" t="str">
        <f>Juli!D25</f>
        <v/>
      </c>
    </row>
    <row r="14" spans="1:48" ht="24" customHeight="1">
      <c r="A14" s="331">
        <f>August!A31</f>
        <v>12</v>
      </c>
      <c r="B14" s="38" t="str">
        <f>August!B31</f>
        <v>ti</v>
      </c>
      <c r="C14" s="70" t="str">
        <f>August!C31</f>
        <v>Normal uge 1</v>
      </c>
      <c r="D14" s="332" t="str">
        <f>August!D31</f>
        <v/>
      </c>
      <c r="E14" s="329">
        <f>September!A26</f>
        <v>12</v>
      </c>
      <c r="F14" s="330" t="str">
        <f>September!B26</f>
        <v>fr</v>
      </c>
      <c r="G14" s="69" t="str">
        <f>September!C26</f>
        <v>Normal uge 1</v>
      </c>
      <c r="H14" s="71" t="str">
        <f>September!D26</f>
        <v/>
      </c>
      <c r="I14" s="329">
        <f>Oktober!A26</f>
        <v>12</v>
      </c>
      <c r="J14" s="330" t="str">
        <f>Oktober!B26</f>
        <v>sø</v>
      </c>
      <c r="K14" s="471" t="str">
        <f>Oktober!C26</f>
        <v>Weekend</v>
      </c>
      <c r="L14" s="473" t="str">
        <f>Oktober!D26</f>
        <v/>
      </c>
      <c r="M14" s="459">
        <f>November!A26</f>
        <v>12</v>
      </c>
      <c r="N14" s="460" t="str">
        <f>November!B26</f>
        <v>on</v>
      </c>
      <c r="O14" s="472" t="str">
        <f>November!C26</f>
        <v>Normal uge 1</v>
      </c>
      <c r="P14" s="475" t="str">
        <f>November!D26</f>
        <v/>
      </c>
      <c r="Q14" s="470">
        <f>December!A26</f>
        <v>12</v>
      </c>
      <c r="R14" s="468" t="str">
        <f>December!B26</f>
        <v>fr</v>
      </c>
      <c r="S14" s="469" t="str">
        <f>December!C26</f>
        <v>Normal uge 1</v>
      </c>
      <c r="T14" s="476" t="str">
        <f>December!D26</f>
        <v/>
      </c>
      <c r="U14" s="329">
        <f>Januar!A26</f>
        <v>12</v>
      </c>
      <c r="V14" s="330" t="str">
        <f>Januar!B26</f>
        <v>ma</v>
      </c>
      <c r="W14" s="471" t="str">
        <f>Januar!C26</f>
        <v>Normal uge 1</v>
      </c>
      <c r="X14" s="477">
        <f>Januar!D26</f>
        <v>2.5714285714285716</v>
      </c>
      <c r="Y14" s="459">
        <f>Februar!A26</f>
        <v>12</v>
      </c>
      <c r="Z14" s="460" t="str">
        <f>Februar!B26</f>
        <v>to</v>
      </c>
      <c r="AA14" s="472" t="str">
        <f>Februar!C26</f>
        <v>Normal uge 1</v>
      </c>
      <c r="AB14" s="475" t="str">
        <f>Februar!D26</f>
        <v/>
      </c>
      <c r="AC14" s="329">
        <f>Marts!A26</f>
        <v>12</v>
      </c>
      <c r="AD14" s="330" t="str">
        <f>Marts!B26</f>
        <v>to</v>
      </c>
      <c r="AE14" s="471" t="str">
        <f>Marts!C26</f>
        <v>Normal uge 1</v>
      </c>
      <c r="AF14" s="477" t="str">
        <f>Marts!D26</f>
        <v/>
      </c>
      <c r="AG14" s="459">
        <f>April!A26</f>
        <v>12</v>
      </c>
      <c r="AH14" s="460" t="str">
        <f>April!B26</f>
        <v>sø</v>
      </c>
      <c r="AI14" s="460" t="str">
        <f>April!C26</f>
        <v>Weekend</v>
      </c>
      <c r="AJ14" s="475" t="str">
        <f>April!D26</f>
        <v/>
      </c>
      <c r="AK14" s="329">
        <f>Maj!A26</f>
        <v>12</v>
      </c>
      <c r="AL14" s="330" t="str">
        <f>Maj!B26</f>
        <v>ti</v>
      </c>
      <c r="AM14" s="471" t="str">
        <f>Maj!C26</f>
        <v>Normal uge 1</v>
      </c>
      <c r="AN14" s="473" t="str">
        <f>Maj!D26</f>
        <v/>
      </c>
      <c r="AO14" s="459">
        <f>Juni!A26</f>
        <v>12</v>
      </c>
      <c r="AP14" s="460" t="str">
        <f>Juni!B26</f>
        <v>fr</v>
      </c>
      <c r="AQ14" s="472" t="str">
        <f>Juni!C26</f>
        <v>Normal uge 1</v>
      </c>
      <c r="AR14" s="475" t="str">
        <f>Juni!D26</f>
        <v/>
      </c>
      <c r="AS14" s="329">
        <f>Juli!A26</f>
        <v>12</v>
      </c>
      <c r="AT14" s="330" t="str">
        <f>Juli!B26</f>
        <v>sø</v>
      </c>
      <c r="AU14" s="471" t="str">
        <f>Juli!C26</f>
        <v>Weekend</v>
      </c>
      <c r="AV14" s="473" t="str">
        <f>Juli!D26</f>
        <v/>
      </c>
    </row>
    <row r="15" spans="1:48" ht="24" customHeight="1">
      <c r="A15" s="331">
        <f>August!A32</f>
        <v>13</v>
      </c>
      <c r="B15" s="38" t="str">
        <f>August!B32</f>
        <v>on</v>
      </c>
      <c r="C15" s="70" t="str">
        <f>August!C32</f>
        <v>Normal uge 1</v>
      </c>
      <c r="D15" s="332" t="str">
        <f>August!D32</f>
        <v/>
      </c>
      <c r="E15" s="329">
        <f>September!A27</f>
        <v>13</v>
      </c>
      <c r="F15" s="330" t="str">
        <f>September!B27</f>
        <v>lø</v>
      </c>
      <c r="G15" s="69" t="str">
        <f>September!C27</f>
        <v>Weekend</v>
      </c>
      <c r="H15" s="71" t="str">
        <f>September!D27</f>
        <v/>
      </c>
      <c r="I15" s="329">
        <f>Oktober!A27</f>
        <v>13</v>
      </c>
      <c r="J15" s="330" t="str">
        <f>Oktober!B27</f>
        <v>ma</v>
      </c>
      <c r="K15" s="471" t="str">
        <f>Oktober!C27</f>
        <v>Normal uge 1</v>
      </c>
      <c r="L15" s="473">
        <f>Oktober!D27</f>
        <v>41.714285714285715</v>
      </c>
      <c r="M15" s="459">
        <f>November!A27</f>
        <v>13</v>
      </c>
      <c r="N15" s="460" t="str">
        <f>November!B27</f>
        <v>to</v>
      </c>
      <c r="O15" s="472" t="str">
        <f>November!C27</f>
        <v>Normal uge 1</v>
      </c>
      <c r="P15" s="475" t="str">
        <f>November!D27</f>
        <v/>
      </c>
      <c r="Q15" s="470">
        <f>December!A27</f>
        <v>13</v>
      </c>
      <c r="R15" s="468" t="str">
        <f>December!B27</f>
        <v>lø</v>
      </c>
      <c r="S15" s="469" t="str">
        <f>December!C27</f>
        <v>Weekend</v>
      </c>
      <c r="T15" s="476" t="str">
        <f>December!D27</f>
        <v/>
      </c>
      <c r="U15" s="329">
        <f>Januar!A27</f>
        <v>13</v>
      </c>
      <c r="V15" s="330" t="str">
        <f>Januar!B27</f>
        <v>ti</v>
      </c>
      <c r="W15" s="471" t="str">
        <f>Januar!C27</f>
        <v>Normal uge 1</v>
      </c>
      <c r="X15" s="477" t="str">
        <f>Januar!D27</f>
        <v/>
      </c>
      <c r="Y15" s="459">
        <f>Februar!A27</f>
        <v>13</v>
      </c>
      <c r="Z15" s="460" t="str">
        <f>Februar!B27</f>
        <v>fr</v>
      </c>
      <c r="AA15" s="472" t="str">
        <f>Februar!C27</f>
        <v>Normal uge 1</v>
      </c>
      <c r="AB15" s="475" t="str">
        <f>Februar!D27</f>
        <v/>
      </c>
      <c r="AC15" s="329">
        <f>Marts!A27</f>
        <v>13</v>
      </c>
      <c r="AD15" s="330" t="str">
        <f>Marts!B27</f>
        <v>fr</v>
      </c>
      <c r="AE15" s="471" t="str">
        <f>Marts!C27</f>
        <v>Normal uge 1</v>
      </c>
      <c r="AF15" s="477" t="str">
        <f>Marts!D27</f>
        <v/>
      </c>
      <c r="AG15" s="459">
        <f>April!A27</f>
        <v>13</v>
      </c>
      <c r="AH15" s="460" t="str">
        <f>April!B27</f>
        <v>ma</v>
      </c>
      <c r="AI15" s="460" t="str">
        <f>April!C27</f>
        <v>Normal uge 1</v>
      </c>
      <c r="AJ15" s="475">
        <f>April!D27</f>
        <v>15.571428571428571</v>
      </c>
      <c r="AK15" s="329">
        <f>Maj!A27</f>
        <v>13</v>
      </c>
      <c r="AL15" s="330" t="str">
        <f>Maj!B27</f>
        <v>on</v>
      </c>
      <c r="AM15" s="471" t="str">
        <f>Maj!C27</f>
        <v>Normal uge 1</v>
      </c>
      <c r="AN15" s="473" t="str">
        <f>Maj!D27</f>
        <v/>
      </c>
      <c r="AO15" s="459">
        <f>Juni!A27</f>
        <v>13</v>
      </c>
      <c r="AP15" s="460" t="str">
        <f>Juni!B27</f>
        <v>lø</v>
      </c>
      <c r="AQ15" s="472" t="str">
        <f>Juni!C27</f>
        <v>Weekend</v>
      </c>
      <c r="AR15" s="475" t="str">
        <f>Juni!D27</f>
        <v/>
      </c>
      <c r="AS15" s="329">
        <f>Juli!A27</f>
        <v>13</v>
      </c>
      <c r="AT15" s="330" t="str">
        <f>Juli!B27</f>
        <v>ma</v>
      </c>
      <c r="AU15" s="471" t="str">
        <f>Juli!C27</f>
        <v>Normal uge 1</v>
      </c>
      <c r="AV15" s="473">
        <f>Juli!D27</f>
        <v>28.571428571428573</v>
      </c>
    </row>
    <row r="16" spans="1:48" ht="24" customHeight="1">
      <c r="A16" s="331">
        <f>August!A33</f>
        <v>14</v>
      </c>
      <c r="B16" s="38" t="str">
        <f>August!B33</f>
        <v>to</v>
      </c>
      <c r="C16" s="70" t="str">
        <f>August!C33</f>
        <v>Normal uge 1</v>
      </c>
      <c r="D16" s="332" t="str">
        <f>August!D33</f>
        <v/>
      </c>
      <c r="E16" s="329">
        <f>September!A28</f>
        <v>14</v>
      </c>
      <c r="F16" s="330" t="str">
        <f>September!B28</f>
        <v>sø</v>
      </c>
      <c r="G16" s="69" t="str">
        <f>September!C28</f>
        <v>Weekend</v>
      </c>
      <c r="H16" s="71" t="str">
        <f>September!D28</f>
        <v/>
      </c>
      <c r="I16" s="329">
        <f>Oktober!A28</f>
        <v>14</v>
      </c>
      <c r="J16" s="330" t="str">
        <f>Oktober!B28</f>
        <v>ti</v>
      </c>
      <c r="K16" s="471" t="str">
        <f>Oktober!C28</f>
        <v>Normal uge 1</v>
      </c>
      <c r="L16" s="473" t="str">
        <f>Oktober!D28</f>
        <v/>
      </c>
      <c r="M16" s="459">
        <f>November!A28</f>
        <v>14</v>
      </c>
      <c r="N16" s="460" t="str">
        <f>November!B28</f>
        <v>fr</v>
      </c>
      <c r="O16" s="472" t="str">
        <f>November!C28</f>
        <v>Normal uge 1</v>
      </c>
      <c r="P16" s="475" t="str">
        <f>November!D28</f>
        <v/>
      </c>
      <c r="Q16" s="470">
        <f>December!A28</f>
        <v>14</v>
      </c>
      <c r="R16" s="468" t="str">
        <f>December!B28</f>
        <v>sø</v>
      </c>
      <c r="S16" s="469" t="str">
        <f>December!C28</f>
        <v>Weekend</v>
      </c>
      <c r="T16" s="476" t="str">
        <f>December!D28</f>
        <v/>
      </c>
      <c r="U16" s="329">
        <f>Januar!A28</f>
        <v>14</v>
      </c>
      <c r="V16" s="330" t="str">
        <f>Januar!B28</f>
        <v>on</v>
      </c>
      <c r="W16" s="471" t="str">
        <f>Januar!C28</f>
        <v>Normal uge 1</v>
      </c>
      <c r="X16" s="477" t="str">
        <f>Januar!D28</f>
        <v/>
      </c>
      <c r="Y16" s="459">
        <f>Februar!A28</f>
        <v>14</v>
      </c>
      <c r="Z16" s="460" t="str">
        <f>Februar!B28</f>
        <v>lø</v>
      </c>
      <c r="AA16" s="472" t="str">
        <f>Februar!C28</f>
        <v>Weekend</v>
      </c>
      <c r="AB16" s="475" t="str">
        <f>Februar!D28</f>
        <v/>
      </c>
      <c r="AC16" s="329">
        <f>Marts!A28</f>
        <v>14</v>
      </c>
      <c r="AD16" s="330" t="str">
        <f>Marts!B28</f>
        <v>lø</v>
      </c>
      <c r="AE16" s="471" t="str">
        <f>Marts!C28</f>
        <v>Weekend</v>
      </c>
      <c r="AF16" s="477" t="str">
        <f>Marts!D28</f>
        <v/>
      </c>
      <c r="AG16" s="459">
        <f>April!A28</f>
        <v>14</v>
      </c>
      <c r="AH16" s="460" t="str">
        <f>April!B28</f>
        <v>ti</v>
      </c>
      <c r="AI16" s="460" t="str">
        <f>April!C28</f>
        <v>Normal uge 1</v>
      </c>
      <c r="AJ16" s="475" t="str">
        <f>April!D28</f>
        <v/>
      </c>
      <c r="AK16" s="329">
        <f>Maj!A28</f>
        <v>14</v>
      </c>
      <c r="AL16" s="330" t="str">
        <f>Maj!B28</f>
        <v>to</v>
      </c>
      <c r="AM16" s="471" t="str">
        <f>Maj!C28</f>
        <v>SH-dag</v>
      </c>
      <c r="AN16" s="473" t="str">
        <f>Maj!D28</f>
        <v/>
      </c>
      <c r="AO16" s="459">
        <f>Juni!A28</f>
        <v>14</v>
      </c>
      <c r="AP16" s="460" t="str">
        <f>Juni!B28</f>
        <v>sø</v>
      </c>
      <c r="AQ16" s="472" t="str">
        <f>Juni!C28</f>
        <v>Weekend</v>
      </c>
      <c r="AR16" s="475" t="str">
        <f>Juni!D28</f>
        <v/>
      </c>
      <c r="AS16" s="329">
        <f>Juli!A28</f>
        <v>14</v>
      </c>
      <c r="AT16" s="330" t="str">
        <f>Juli!B28</f>
        <v>ti</v>
      </c>
      <c r="AU16" s="471" t="str">
        <f>Juli!C28</f>
        <v>Normal uge 1</v>
      </c>
      <c r="AV16" s="473" t="str">
        <f>Juli!D28</f>
        <v/>
      </c>
    </row>
    <row r="17" spans="1:48" ht="24" customHeight="1">
      <c r="A17" s="331">
        <f>August!A34</f>
        <v>15</v>
      </c>
      <c r="B17" s="38" t="str">
        <f>August!B34</f>
        <v>fr</v>
      </c>
      <c r="C17" s="70" t="str">
        <f>August!C34</f>
        <v>Normal uge 1</v>
      </c>
      <c r="D17" s="332" t="str">
        <f>August!D34</f>
        <v/>
      </c>
      <c r="E17" s="329">
        <f>September!A29</f>
        <v>15</v>
      </c>
      <c r="F17" s="330" t="str">
        <f>September!B29</f>
        <v>ma</v>
      </c>
      <c r="G17" s="69" t="str">
        <f>September!C29</f>
        <v>Normal uge 1</v>
      </c>
      <c r="H17" s="71">
        <f>September!D29</f>
        <v>37.714285714285715</v>
      </c>
      <c r="I17" s="329">
        <f>Oktober!A29</f>
        <v>15</v>
      </c>
      <c r="J17" s="330" t="str">
        <f>Oktober!B29</f>
        <v>on</v>
      </c>
      <c r="K17" s="471" t="str">
        <f>Oktober!C29</f>
        <v>Normal uge 1</v>
      </c>
      <c r="L17" s="473" t="str">
        <f>Oktober!D29</f>
        <v/>
      </c>
      <c r="M17" s="459">
        <f>November!A29</f>
        <v>15</v>
      </c>
      <c r="N17" s="460" t="str">
        <f>November!B29</f>
        <v>lø</v>
      </c>
      <c r="O17" s="472" t="str">
        <f>November!C29</f>
        <v>Weekend</v>
      </c>
      <c r="P17" s="475" t="str">
        <f>November!D29</f>
        <v/>
      </c>
      <c r="Q17" s="470">
        <f>December!A29</f>
        <v>15</v>
      </c>
      <c r="R17" s="468" t="str">
        <f>December!B29</f>
        <v>ma</v>
      </c>
      <c r="S17" s="469" t="str">
        <f>December!C29</f>
        <v>Normal uge 1</v>
      </c>
      <c r="T17" s="476">
        <f>December!D29</f>
        <v>50.714285714285715</v>
      </c>
      <c r="U17" s="329">
        <f>Januar!A29</f>
        <v>15</v>
      </c>
      <c r="V17" s="330" t="str">
        <f>Januar!B29</f>
        <v>to</v>
      </c>
      <c r="W17" s="471" t="str">
        <f>Januar!C29</f>
        <v>Normal uge 1</v>
      </c>
      <c r="X17" s="477" t="str">
        <f>Januar!D29</f>
        <v/>
      </c>
      <c r="Y17" s="459">
        <f>Februar!A29</f>
        <v>15</v>
      </c>
      <c r="Z17" s="460" t="str">
        <f>Februar!B29</f>
        <v>sø</v>
      </c>
      <c r="AA17" s="472" t="str">
        <f>Februar!C29</f>
        <v>Weekend</v>
      </c>
      <c r="AB17" s="475" t="str">
        <f>Februar!D29</f>
        <v/>
      </c>
      <c r="AC17" s="329">
        <f>Marts!A29</f>
        <v>15</v>
      </c>
      <c r="AD17" s="330" t="str">
        <f>Marts!B29</f>
        <v>sø</v>
      </c>
      <c r="AE17" s="471" t="str">
        <f>Marts!C29</f>
        <v>Weekend</v>
      </c>
      <c r="AF17" s="477" t="str">
        <f>Marts!D29</f>
        <v/>
      </c>
      <c r="AG17" s="459">
        <f>April!A29</f>
        <v>15</v>
      </c>
      <c r="AH17" s="460" t="str">
        <f>April!B29</f>
        <v>on</v>
      </c>
      <c r="AI17" s="460" t="str">
        <f>April!C29</f>
        <v>Normal uge 1</v>
      </c>
      <c r="AJ17" s="475" t="str">
        <f>April!D29</f>
        <v/>
      </c>
      <c r="AK17" s="329">
        <f>Maj!A29</f>
        <v>15</v>
      </c>
      <c r="AL17" s="330" t="str">
        <f>Maj!B29</f>
        <v>fr</v>
      </c>
      <c r="AM17" s="471" t="str">
        <f>Maj!C29</f>
        <v>Normal uge 1</v>
      </c>
      <c r="AN17" s="473" t="str">
        <f>Maj!D29</f>
        <v/>
      </c>
      <c r="AO17" s="459">
        <f>Juni!A29</f>
        <v>15</v>
      </c>
      <c r="AP17" s="460" t="str">
        <f>Juni!B29</f>
        <v>ma</v>
      </c>
      <c r="AQ17" s="472" t="str">
        <f>Juni!C29</f>
        <v>Normal uge 1</v>
      </c>
      <c r="AR17" s="475">
        <f>Juni!D29</f>
        <v>24.571428571428573</v>
      </c>
      <c r="AS17" s="329">
        <f>Juli!A29</f>
        <v>15</v>
      </c>
      <c r="AT17" s="330" t="str">
        <f>Juli!B29</f>
        <v>on</v>
      </c>
      <c r="AU17" s="471" t="str">
        <f>Juli!C29</f>
        <v>Normal uge 1</v>
      </c>
      <c r="AV17" s="473" t="str">
        <f>Juli!D29</f>
        <v/>
      </c>
    </row>
    <row r="18" spans="1:48" ht="24" customHeight="1">
      <c r="A18" s="331">
        <f>August!A35</f>
        <v>16</v>
      </c>
      <c r="B18" s="38" t="str">
        <f>August!B35</f>
        <v>lø</v>
      </c>
      <c r="C18" s="70" t="str">
        <f>August!C35</f>
        <v>Weekend</v>
      </c>
      <c r="D18" s="332" t="str">
        <f>August!D35</f>
        <v/>
      </c>
      <c r="E18" s="329">
        <f>September!A30</f>
        <v>16</v>
      </c>
      <c r="F18" s="330" t="str">
        <f>September!B30</f>
        <v>ti</v>
      </c>
      <c r="G18" s="69" t="str">
        <f>September!C30</f>
        <v>Normal uge 1</v>
      </c>
      <c r="H18" s="71" t="str">
        <f>September!D30</f>
        <v/>
      </c>
      <c r="I18" s="329">
        <f>Oktober!A30</f>
        <v>16</v>
      </c>
      <c r="J18" s="330" t="str">
        <f>Oktober!B30</f>
        <v>to</v>
      </c>
      <c r="K18" s="471" t="str">
        <f>Oktober!C30</f>
        <v>Normal uge 1</v>
      </c>
      <c r="L18" s="473" t="str">
        <f>Oktober!D30</f>
        <v/>
      </c>
      <c r="M18" s="459">
        <f>November!A30</f>
        <v>16</v>
      </c>
      <c r="N18" s="460" t="str">
        <f>November!B30</f>
        <v>sø</v>
      </c>
      <c r="O18" s="472" t="str">
        <f>November!C30</f>
        <v>Weekend</v>
      </c>
      <c r="P18" s="475" t="str">
        <f>November!D30</f>
        <v/>
      </c>
      <c r="Q18" s="470">
        <f>December!A30</f>
        <v>16</v>
      </c>
      <c r="R18" s="468" t="str">
        <f>December!B30</f>
        <v>ti</v>
      </c>
      <c r="S18" s="469" t="str">
        <f>December!C30</f>
        <v>Normal uge 1</v>
      </c>
      <c r="T18" s="476" t="str">
        <f>December!D30</f>
        <v/>
      </c>
      <c r="U18" s="329">
        <f>Januar!A30</f>
        <v>16</v>
      </c>
      <c r="V18" s="330" t="str">
        <f>Januar!B30</f>
        <v>fr</v>
      </c>
      <c r="W18" s="471" t="str">
        <f>Januar!C30</f>
        <v>Normal uge 1</v>
      </c>
      <c r="X18" s="477" t="str">
        <f>Januar!D30</f>
        <v/>
      </c>
      <c r="Y18" s="459">
        <f>Februar!A30</f>
        <v>16</v>
      </c>
      <c r="Z18" s="460" t="str">
        <f>Februar!B30</f>
        <v>ma</v>
      </c>
      <c r="AA18" s="472" t="str">
        <f>Februar!C30</f>
        <v>Normal uge 1</v>
      </c>
      <c r="AB18" s="475">
        <f>Februar!D30</f>
        <v>7.5714285714285712</v>
      </c>
      <c r="AC18" s="329">
        <f>Marts!A30</f>
        <v>16</v>
      </c>
      <c r="AD18" s="330" t="str">
        <f>Marts!B30</f>
        <v>ma</v>
      </c>
      <c r="AE18" s="471" t="str">
        <f>Marts!C30</f>
        <v>Normal uge 1</v>
      </c>
      <c r="AF18" s="477">
        <f>Marts!D30</f>
        <v>11.571428571428571</v>
      </c>
      <c r="AG18" s="459">
        <f>April!A30</f>
        <v>16</v>
      </c>
      <c r="AH18" s="460" t="str">
        <f>April!B30</f>
        <v>to</v>
      </c>
      <c r="AI18" s="460" t="str">
        <f>April!C30</f>
        <v>Normal uge 1</v>
      </c>
      <c r="AJ18" s="475" t="str">
        <f>April!D30</f>
        <v/>
      </c>
      <c r="AK18" s="329">
        <f>Maj!A30</f>
        <v>16</v>
      </c>
      <c r="AL18" s="330" t="str">
        <f>Maj!B30</f>
        <v>lø</v>
      </c>
      <c r="AM18" s="471" t="str">
        <f>Maj!C30</f>
        <v>Weekend</v>
      </c>
      <c r="AN18" s="473" t="str">
        <f>Maj!D30</f>
        <v/>
      </c>
      <c r="AO18" s="459">
        <f>Juni!A30</f>
        <v>16</v>
      </c>
      <c r="AP18" s="460" t="str">
        <f>Juni!B30</f>
        <v>ti</v>
      </c>
      <c r="AQ18" s="472" t="str">
        <f>Juni!C30</f>
        <v>Normal uge 1</v>
      </c>
      <c r="AR18" s="475" t="str">
        <f>Juni!D30</f>
        <v/>
      </c>
      <c r="AS18" s="329">
        <f>Juli!A30</f>
        <v>16</v>
      </c>
      <c r="AT18" s="330" t="str">
        <f>Juli!B30</f>
        <v>to</v>
      </c>
      <c r="AU18" s="471" t="str">
        <f>Juli!C30</f>
        <v>Normal uge 1</v>
      </c>
      <c r="AV18" s="473" t="str">
        <f>Juli!D30</f>
        <v/>
      </c>
    </row>
    <row r="19" spans="1:48" ht="24" customHeight="1">
      <c r="A19" s="331">
        <f>August!A36</f>
        <v>17</v>
      </c>
      <c r="B19" s="38" t="str">
        <f>August!B36</f>
        <v>sø</v>
      </c>
      <c r="C19" s="70" t="str">
        <f>August!C36</f>
        <v>Weekend</v>
      </c>
      <c r="D19" s="332" t="str">
        <f>August!D36</f>
        <v/>
      </c>
      <c r="E19" s="329">
        <f>September!A31</f>
        <v>17</v>
      </c>
      <c r="F19" s="330" t="str">
        <f>September!B31</f>
        <v>on</v>
      </c>
      <c r="G19" s="69" t="str">
        <f>September!C31</f>
        <v>Normal uge 1</v>
      </c>
      <c r="H19" s="71" t="str">
        <f>September!D31</f>
        <v/>
      </c>
      <c r="I19" s="329">
        <f>Oktober!A31</f>
        <v>17</v>
      </c>
      <c r="J19" s="330" t="str">
        <f>Oktober!B31</f>
        <v>fr</v>
      </c>
      <c r="K19" s="471" t="str">
        <f>Oktober!C31</f>
        <v>Normal uge 1</v>
      </c>
      <c r="L19" s="473" t="str">
        <f>Oktober!D31</f>
        <v/>
      </c>
      <c r="M19" s="459">
        <f>November!A31</f>
        <v>17</v>
      </c>
      <c r="N19" s="460" t="str">
        <f>November!B31</f>
        <v>ma</v>
      </c>
      <c r="O19" s="472" t="str">
        <f>November!C31</f>
        <v>Normal uge 1</v>
      </c>
      <c r="P19" s="475">
        <f>November!D31</f>
        <v>46.714285714285715</v>
      </c>
      <c r="Q19" s="470">
        <f>December!A31</f>
        <v>17</v>
      </c>
      <c r="R19" s="468" t="str">
        <f>December!B31</f>
        <v>on</v>
      </c>
      <c r="S19" s="469" t="str">
        <f>December!C31</f>
        <v>Normal uge 1</v>
      </c>
      <c r="T19" s="476" t="str">
        <f>December!D31</f>
        <v/>
      </c>
      <c r="U19" s="329">
        <f>Januar!A31</f>
        <v>17</v>
      </c>
      <c r="V19" s="330" t="str">
        <f>Januar!B31</f>
        <v>lø</v>
      </c>
      <c r="W19" s="471" t="str">
        <f>Januar!C31</f>
        <v>Weekend</v>
      </c>
      <c r="X19" s="477" t="str">
        <f>Januar!D31</f>
        <v/>
      </c>
      <c r="Y19" s="459">
        <f>Februar!A31</f>
        <v>17</v>
      </c>
      <c r="Z19" s="460" t="str">
        <f>Februar!B31</f>
        <v>ti</v>
      </c>
      <c r="AA19" s="472" t="str">
        <f>Februar!C31</f>
        <v>Normal uge 1</v>
      </c>
      <c r="AB19" s="475" t="str">
        <f>Februar!D31</f>
        <v/>
      </c>
      <c r="AC19" s="329">
        <f>Marts!A31</f>
        <v>17</v>
      </c>
      <c r="AD19" s="330" t="str">
        <f>Marts!B31</f>
        <v>ti</v>
      </c>
      <c r="AE19" s="471" t="str">
        <f>Marts!C31</f>
        <v>Normal uge 1</v>
      </c>
      <c r="AF19" s="477" t="str">
        <f>Marts!D31</f>
        <v/>
      </c>
      <c r="AG19" s="459">
        <f>April!A31</f>
        <v>17</v>
      </c>
      <c r="AH19" s="460" t="str">
        <f>April!B31</f>
        <v>fr</v>
      </c>
      <c r="AI19" s="460" t="str">
        <f>April!C31</f>
        <v>Normal uge 1</v>
      </c>
      <c r="AJ19" s="475" t="str">
        <f>April!D31</f>
        <v/>
      </c>
      <c r="AK19" s="329">
        <f>Maj!A31</f>
        <v>17</v>
      </c>
      <c r="AL19" s="330" t="str">
        <f>Maj!B31</f>
        <v>sø</v>
      </c>
      <c r="AM19" s="471" t="str">
        <f>Maj!C31</f>
        <v>Weekend</v>
      </c>
      <c r="AN19" s="473" t="str">
        <f>Maj!D31</f>
        <v/>
      </c>
      <c r="AO19" s="459">
        <f>Juni!A31</f>
        <v>17</v>
      </c>
      <c r="AP19" s="460" t="str">
        <f>Juni!B31</f>
        <v>on</v>
      </c>
      <c r="AQ19" s="472" t="str">
        <f>Juni!C31</f>
        <v>Normal uge 1</v>
      </c>
      <c r="AR19" s="475" t="str">
        <f>Juni!D31</f>
        <v/>
      </c>
      <c r="AS19" s="329">
        <f>Juli!A31</f>
        <v>17</v>
      </c>
      <c r="AT19" s="330" t="str">
        <f>Juli!B31</f>
        <v>fr</v>
      </c>
      <c r="AU19" s="471" t="str">
        <f>Juli!C31</f>
        <v>Normal uge 1</v>
      </c>
      <c r="AV19" s="473" t="str">
        <f>Juli!D31</f>
        <v/>
      </c>
    </row>
    <row r="20" spans="1:48" ht="24" customHeight="1">
      <c r="A20" s="331">
        <f>August!A37</f>
        <v>18</v>
      </c>
      <c r="B20" s="38" t="str">
        <f>August!B37</f>
        <v>ma</v>
      </c>
      <c r="C20" s="70" t="str">
        <f>August!C37</f>
        <v>Normal uge 1</v>
      </c>
      <c r="D20" s="332">
        <f>August!D37</f>
        <v>33.714285714285715</v>
      </c>
      <c r="E20" s="329">
        <f>September!A32</f>
        <v>18</v>
      </c>
      <c r="F20" s="330" t="str">
        <f>September!B32</f>
        <v>to</v>
      </c>
      <c r="G20" s="69" t="str">
        <f>September!C32</f>
        <v>Normal uge 1</v>
      </c>
      <c r="H20" s="71" t="str">
        <f>September!D32</f>
        <v/>
      </c>
      <c r="I20" s="329">
        <f>Oktober!A32</f>
        <v>18</v>
      </c>
      <c r="J20" s="330" t="str">
        <f>Oktober!B32</f>
        <v>lø</v>
      </c>
      <c r="K20" s="471" t="str">
        <f>Oktober!C32</f>
        <v>Weekend</v>
      </c>
      <c r="L20" s="473" t="str">
        <f>Oktober!D32</f>
        <v/>
      </c>
      <c r="M20" s="459">
        <f>November!A32</f>
        <v>18</v>
      </c>
      <c r="N20" s="460" t="str">
        <f>November!B32</f>
        <v>ti</v>
      </c>
      <c r="O20" s="472" t="str">
        <f>November!C32</f>
        <v>Normal uge 1</v>
      </c>
      <c r="P20" s="475" t="str">
        <f>November!D32</f>
        <v/>
      </c>
      <c r="Q20" s="470">
        <f>December!A32</f>
        <v>18</v>
      </c>
      <c r="R20" s="468" t="str">
        <f>December!B32</f>
        <v>to</v>
      </c>
      <c r="S20" s="469" t="str">
        <f>December!C32</f>
        <v>Normal uge 1</v>
      </c>
      <c r="T20" s="476" t="str">
        <f>December!D32</f>
        <v/>
      </c>
      <c r="U20" s="329">
        <f>Januar!A32</f>
        <v>18</v>
      </c>
      <c r="V20" s="330" t="str">
        <f>Januar!B32</f>
        <v>sø</v>
      </c>
      <c r="W20" s="471" t="str">
        <f>Januar!C32</f>
        <v>Weekend</v>
      </c>
      <c r="X20" s="477" t="str">
        <f>Januar!D32</f>
        <v/>
      </c>
      <c r="Y20" s="459">
        <f>Februar!A32</f>
        <v>18</v>
      </c>
      <c r="Z20" s="460" t="str">
        <f>Februar!B32</f>
        <v>on</v>
      </c>
      <c r="AA20" s="472" t="str">
        <f>Februar!C32</f>
        <v>Normal uge 1</v>
      </c>
      <c r="AB20" s="475" t="str">
        <f>Februar!D32</f>
        <v/>
      </c>
      <c r="AC20" s="329">
        <f>Marts!A32</f>
        <v>18</v>
      </c>
      <c r="AD20" s="330" t="str">
        <f>Marts!B32</f>
        <v>on</v>
      </c>
      <c r="AE20" s="471" t="str">
        <f>Marts!C32</f>
        <v>Normal uge 1</v>
      </c>
      <c r="AF20" s="477" t="str">
        <f>Marts!D32</f>
        <v/>
      </c>
      <c r="AG20" s="459">
        <f>April!A32</f>
        <v>18</v>
      </c>
      <c r="AH20" s="460" t="str">
        <f>April!B32</f>
        <v>lø</v>
      </c>
      <c r="AI20" s="460" t="str">
        <f>April!C32</f>
        <v>Weekend</v>
      </c>
      <c r="AJ20" s="475" t="str">
        <f>April!D32</f>
        <v/>
      </c>
      <c r="AK20" s="329">
        <f>Maj!A32</f>
        <v>18</v>
      </c>
      <c r="AL20" s="330" t="str">
        <f>Maj!B32</f>
        <v>ma</v>
      </c>
      <c r="AM20" s="471" t="str">
        <f>Maj!C32</f>
        <v>Normal uge 1</v>
      </c>
      <c r="AN20" s="473">
        <f>Maj!D32</f>
        <v>20.571428571428573</v>
      </c>
      <c r="AO20" s="459">
        <f>Juni!A32</f>
        <v>18</v>
      </c>
      <c r="AP20" s="460" t="str">
        <f>Juni!B32</f>
        <v>to</v>
      </c>
      <c r="AQ20" s="472" t="str">
        <f>Juni!C32</f>
        <v>Normal uge 1</v>
      </c>
      <c r="AR20" s="475" t="str">
        <f>Juni!D32</f>
        <v/>
      </c>
      <c r="AS20" s="329">
        <f>Juli!A32</f>
        <v>18</v>
      </c>
      <c r="AT20" s="330" t="str">
        <f>Juli!B32</f>
        <v>lø</v>
      </c>
      <c r="AU20" s="471" t="str">
        <f>Juli!C32</f>
        <v>Weekend</v>
      </c>
      <c r="AV20" s="473" t="str">
        <f>Juli!D32</f>
        <v/>
      </c>
    </row>
    <row r="21" spans="1:48" ht="24" customHeight="1">
      <c r="A21" s="331">
        <f>August!A38</f>
        <v>19</v>
      </c>
      <c r="B21" s="38" t="str">
        <f>August!B38</f>
        <v>ti</v>
      </c>
      <c r="C21" s="70" t="str">
        <f>August!C38</f>
        <v>Normal uge 1</v>
      </c>
      <c r="D21" s="332" t="str">
        <f>August!D38</f>
        <v/>
      </c>
      <c r="E21" s="329">
        <f>September!A33</f>
        <v>19</v>
      </c>
      <c r="F21" s="330" t="str">
        <f>September!B33</f>
        <v>fr</v>
      </c>
      <c r="G21" s="69" t="str">
        <f>September!C33</f>
        <v>Normal uge 1</v>
      </c>
      <c r="H21" s="71" t="str">
        <f>September!D33</f>
        <v/>
      </c>
      <c r="I21" s="329">
        <f>Oktober!A33</f>
        <v>19</v>
      </c>
      <c r="J21" s="330" t="str">
        <f>Oktober!B33</f>
        <v>sø</v>
      </c>
      <c r="K21" s="471" t="str">
        <f>Oktober!C33</f>
        <v>Weekend</v>
      </c>
      <c r="L21" s="473" t="str">
        <f>Oktober!D33</f>
        <v/>
      </c>
      <c r="M21" s="459">
        <f>November!A33</f>
        <v>19</v>
      </c>
      <c r="N21" s="460" t="str">
        <f>November!B33</f>
        <v>on</v>
      </c>
      <c r="O21" s="472" t="str">
        <f>November!C33</f>
        <v>Normal uge 1</v>
      </c>
      <c r="P21" s="475" t="str">
        <f>November!D33</f>
        <v/>
      </c>
      <c r="Q21" s="470">
        <f>December!A33</f>
        <v>19</v>
      </c>
      <c r="R21" s="468" t="str">
        <f>December!B33</f>
        <v>fr</v>
      </c>
      <c r="S21" s="469" t="str">
        <f>December!C33</f>
        <v>Normal uge 1</v>
      </c>
      <c r="T21" s="476" t="str">
        <f>December!D33</f>
        <v/>
      </c>
      <c r="U21" s="329">
        <f>Januar!A33</f>
        <v>19</v>
      </c>
      <c r="V21" s="330" t="str">
        <f>Januar!B33</f>
        <v>ma</v>
      </c>
      <c r="W21" s="471" t="str">
        <f>Januar!C33</f>
        <v>Normal uge 1</v>
      </c>
      <c r="X21" s="477">
        <f>Januar!D33</f>
        <v>3.5714285714285716</v>
      </c>
      <c r="Y21" s="459">
        <f>Februar!A33</f>
        <v>19</v>
      </c>
      <c r="Z21" s="460" t="str">
        <f>Februar!B33</f>
        <v>to</v>
      </c>
      <c r="AA21" s="472" t="str">
        <f>Februar!C33</f>
        <v>Normal uge 1</v>
      </c>
      <c r="AB21" s="475" t="str">
        <f>Februar!D33</f>
        <v/>
      </c>
      <c r="AC21" s="329">
        <f>Marts!A33</f>
        <v>19</v>
      </c>
      <c r="AD21" s="330" t="str">
        <f>Marts!B33</f>
        <v>to</v>
      </c>
      <c r="AE21" s="471" t="str">
        <f>Marts!C33</f>
        <v>Normal uge 1</v>
      </c>
      <c r="AF21" s="477" t="str">
        <f>Marts!D33</f>
        <v/>
      </c>
      <c r="AG21" s="459">
        <f>April!A33</f>
        <v>19</v>
      </c>
      <c r="AH21" s="460" t="str">
        <f>April!B33</f>
        <v>sø</v>
      </c>
      <c r="AI21" s="460" t="str">
        <f>April!C33</f>
        <v>Weekend</v>
      </c>
      <c r="AJ21" s="475" t="str">
        <f>April!D33</f>
        <v/>
      </c>
      <c r="AK21" s="329">
        <f>Maj!A33</f>
        <v>19</v>
      </c>
      <c r="AL21" s="330" t="str">
        <f>Maj!B33</f>
        <v>ti</v>
      </c>
      <c r="AM21" s="471" t="str">
        <f>Maj!C33</f>
        <v>Normal uge 1</v>
      </c>
      <c r="AN21" s="473" t="str">
        <f>Maj!D33</f>
        <v/>
      </c>
      <c r="AO21" s="459">
        <f>Juni!A33</f>
        <v>19</v>
      </c>
      <c r="AP21" s="460" t="str">
        <f>Juni!B33</f>
        <v>fr</v>
      </c>
      <c r="AQ21" s="472" t="str">
        <f>Juni!C33</f>
        <v>Normal uge 1</v>
      </c>
      <c r="AR21" s="475" t="str">
        <f>Juni!D33</f>
        <v/>
      </c>
      <c r="AS21" s="329">
        <f>Juli!A33</f>
        <v>19</v>
      </c>
      <c r="AT21" s="330" t="str">
        <f>Juli!B33</f>
        <v>sø</v>
      </c>
      <c r="AU21" s="471" t="str">
        <f>Juli!C33</f>
        <v>Weekend</v>
      </c>
      <c r="AV21" s="473" t="str">
        <f>Juli!D33</f>
        <v/>
      </c>
    </row>
    <row r="22" spans="1:48" ht="24" customHeight="1">
      <c r="A22" s="331">
        <f>August!A39</f>
        <v>20</v>
      </c>
      <c r="B22" s="38" t="str">
        <f>August!B39</f>
        <v>on</v>
      </c>
      <c r="C22" s="70" t="str">
        <f>August!C39</f>
        <v>Normal uge 1</v>
      </c>
      <c r="D22" s="332" t="str">
        <f>August!D39</f>
        <v/>
      </c>
      <c r="E22" s="329">
        <f>September!A34</f>
        <v>20</v>
      </c>
      <c r="F22" s="330" t="str">
        <f>September!B34</f>
        <v>lø</v>
      </c>
      <c r="G22" s="69" t="str">
        <f>September!C34</f>
        <v>Weekend</v>
      </c>
      <c r="H22" s="71" t="str">
        <f>September!D34</f>
        <v/>
      </c>
      <c r="I22" s="329">
        <f>Oktober!A34</f>
        <v>20</v>
      </c>
      <c r="J22" s="330" t="str">
        <f>Oktober!B34</f>
        <v>ma</v>
      </c>
      <c r="K22" s="471" t="str">
        <f>Oktober!C34</f>
        <v>Normal uge 1</v>
      </c>
      <c r="L22" s="473">
        <f>Oktober!D34</f>
        <v>42.714285714285715</v>
      </c>
      <c r="M22" s="459">
        <f>November!A34</f>
        <v>20</v>
      </c>
      <c r="N22" s="460" t="str">
        <f>November!B34</f>
        <v>to</v>
      </c>
      <c r="O22" s="472" t="str">
        <f>November!C34</f>
        <v>Normal uge 1</v>
      </c>
      <c r="P22" s="475" t="str">
        <f>November!D34</f>
        <v/>
      </c>
      <c r="Q22" s="470">
        <f>December!A34</f>
        <v>20</v>
      </c>
      <c r="R22" s="468" t="str">
        <f>December!B34</f>
        <v>lø</v>
      </c>
      <c r="S22" s="469" t="str">
        <f>December!C34</f>
        <v>Weekend</v>
      </c>
      <c r="T22" s="476" t="str">
        <f>December!D34</f>
        <v/>
      </c>
      <c r="U22" s="329">
        <f>Januar!A34</f>
        <v>20</v>
      </c>
      <c r="V22" s="330" t="str">
        <f>Januar!B34</f>
        <v>ti</v>
      </c>
      <c r="W22" s="471" t="str">
        <f>Januar!C34</f>
        <v>Normal uge 1</v>
      </c>
      <c r="X22" s="477" t="str">
        <f>Januar!D34</f>
        <v/>
      </c>
      <c r="Y22" s="459">
        <f>Februar!A34</f>
        <v>20</v>
      </c>
      <c r="Z22" s="460" t="str">
        <f>Februar!B34</f>
        <v>fr</v>
      </c>
      <c r="AA22" s="472" t="str">
        <f>Februar!C34</f>
        <v>Normal uge 1</v>
      </c>
      <c r="AB22" s="475" t="str">
        <f>Februar!D34</f>
        <v/>
      </c>
      <c r="AC22" s="329">
        <f>Marts!A34</f>
        <v>20</v>
      </c>
      <c r="AD22" s="330" t="str">
        <f>Marts!B34</f>
        <v>fr</v>
      </c>
      <c r="AE22" s="471" t="str">
        <f>Marts!C34</f>
        <v>Normal uge 1</v>
      </c>
      <c r="AF22" s="477" t="str">
        <f>Marts!D34</f>
        <v/>
      </c>
      <c r="AG22" s="459">
        <f>April!A34</f>
        <v>20</v>
      </c>
      <c r="AH22" s="460" t="str">
        <f>April!B34</f>
        <v>ma</v>
      </c>
      <c r="AI22" s="460" t="str">
        <f>April!C34</f>
        <v>Normal uge 1</v>
      </c>
      <c r="AJ22" s="475">
        <f>April!D34</f>
        <v>16.571428571428573</v>
      </c>
      <c r="AK22" s="329">
        <f>Maj!A34</f>
        <v>20</v>
      </c>
      <c r="AL22" s="330" t="str">
        <f>Maj!B34</f>
        <v>on</v>
      </c>
      <c r="AM22" s="471" t="str">
        <f>Maj!C34</f>
        <v>Normal uge 1</v>
      </c>
      <c r="AN22" s="473" t="str">
        <f>Maj!D34</f>
        <v/>
      </c>
      <c r="AO22" s="459">
        <f>Juni!A34</f>
        <v>20</v>
      </c>
      <c r="AP22" s="460" t="str">
        <f>Juni!B34</f>
        <v>lø</v>
      </c>
      <c r="AQ22" s="472" t="str">
        <f>Juni!C34</f>
        <v>Weekend</v>
      </c>
      <c r="AR22" s="475" t="str">
        <f>Juni!D34</f>
        <v/>
      </c>
      <c r="AS22" s="329">
        <f>Juli!A34</f>
        <v>20</v>
      </c>
      <c r="AT22" s="330" t="str">
        <f>Juli!B34</f>
        <v>ma</v>
      </c>
      <c r="AU22" s="471" t="str">
        <f>Juli!C34</f>
        <v>Normal uge 1</v>
      </c>
      <c r="AV22" s="473">
        <f>Juli!D34</f>
        <v>29.571428571428573</v>
      </c>
    </row>
    <row r="23" spans="1:48" ht="24" customHeight="1">
      <c r="A23" s="331">
        <f>August!A40</f>
        <v>21</v>
      </c>
      <c r="B23" s="38" t="str">
        <f>August!B40</f>
        <v>to</v>
      </c>
      <c r="C23" s="70" t="str">
        <f>August!C40</f>
        <v>Normal uge 1</v>
      </c>
      <c r="D23" s="332" t="str">
        <f>August!D40</f>
        <v/>
      </c>
      <c r="E23" s="329">
        <f>September!A35</f>
        <v>21</v>
      </c>
      <c r="F23" s="330" t="str">
        <f>September!B35</f>
        <v>sø</v>
      </c>
      <c r="G23" s="69" t="str">
        <f>September!C35</f>
        <v>Weekend</v>
      </c>
      <c r="H23" s="71" t="str">
        <f>September!D35</f>
        <v/>
      </c>
      <c r="I23" s="329">
        <f>Oktober!A35</f>
        <v>21</v>
      </c>
      <c r="J23" s="330" t="str">
        <f>Oktober!B35</f>
        <v>ti</v>
      </c>
      <c r="K23" s="471" t="str">
        <f>Oktober!C35</f>
        <v>Normal uge 1</v>
      </c>
      <c r="L23" s="473" t="str">
        <f>Oktober!D35</f>
        <v/>
      </c>
      <c r="M23" s="459">
        <f>November!A35</f>
        <v>21</v>
      </c>
      <c r="N23" s="460" t="str">
        <f>November!B35</f>
        <v>fr</v>
      </c>
      <c r="O23" s="472" t="str">
        <f>November!C35</f>
        <v>Normal uge 1</v>
      </c>
      <c r="P23" s="475" t="str">
        <f>November!D35</f>
        <v/>
      </c>
      <c r="Q23" s="470">
        <f>December!A35</f>
        <v>21</v>
      </c>
      <c r="R23" s="468" t="str">
        <f>December!B35</f>
        <v>sø</v>
      </c>
      <c r="S23" s="469" t="str">
        <f>December!C35</f>
        <v>Weekend</v>
      </c>
      <c r="T23" s="476" t="str">
        <f>December!D35</f>
        <v/>
      </c>
      <c r="U23" s="329">
        <f>Januar!A35</f>
        <v>21</v>
      </c>
      <c r="V23" s="330" t="str">
        <f>Januar!B35</f>
        <v>on</v>
      </c>
      <c r="W23" s="471" t="str">
        <f>Januar!C35</f>
        <v>Normal uge 1</v>
      </c>
      <c r="X23" s="477" t="str">
        <f>Januar!D35</f>
        <v/>
      </c>
      <c r="Y23" s="459">
        <f>Februar!A35</f>
        <v>21</v>
      </c>
      <c r="Z23" s="460" t="str">
        <f>Februar!B35</f>
        <v>lø</v>
      </c>
      <c r="AA23" s="472" t="str">
        <f>Februar!C35</f>
        <v>Weekend</v>
      </c>
      <c r="AB23" s="475" t="str">
        <f>Februar!D35</f>
        <v/>
      </c>
      <c r="AC23" s="329">
        <f>Marts!A35</f>
        <v>21</v>
      </c>
      <c r="AD23" s="330" t="str">
        <f>Marts!B35</f>
        <v>lø</v>
      </c>
      <c r="AE23" s="471" t="str">
        <f>Marts!C35</f>
        <v>Weekend</v>
      </c>
      <c r="AF23" s="477" t="str">
        <f>Marts!D35</f>
        <v/>
      </c>
      <c r="AG23" s="459">
        <f>April!A35</f>
        <v>21</v>
      </c>
      <c r="AH23" s="460" t="str">
        <f>April!B35</f>
        <v>ti</v>
      </c>
      <c r="AI23" s="460" t="str">
        <f>April!C35</f>
        <v>Normal uge 1</v>
      </c>
      <c r="AJ23" s="475" t="str">
        <f>April!D35</f>
        <v/>
      </c>
      <c r="AK23" s="329">
        <f>Maj!A35</f>
        <v>21</v>
      </c>
      <c r="AL23" s="330" t="str">
        <f>Maj!B35</f>
        <v>to</v>
      </c>
      <c r="AM23" s="471" t="str">
        <f>Maj!C35</f>
        <v>Normal uge 1</v>
      </c>
      <c r="AN23" s="473" t="str">
        <f>Maj!D35</f>
        <v/>
      </c>
      <c r="AO23" s="459">
        <f>Juni!A35</f>
        <v>21</v>
      </c>
      <c r="AP23" s="460" t="str">
        <f>Juni!B35</f>
        <v>sø</v>
      </c>
      <c r="AQ23" s="472" t="str">
        <f>Juni!C35</f>
        <v>Weekend</v>
      </c>
      <c r="AR23" s="475" t="str">
        <f>Juni!D35</f>
        <v/>
      </c>
      <c r="AS23" s="329">
        <f>Juli!A35</f>
        <v>21</v>
      </c>
      <c r="AT23" s="330" t="str">
        <f>Juli!B35</f>
        <v>ti</v>
      </c>
      <c r="AU23" s="471" t="str">
        <f>Juli!C35</f>
        <v>Normal uge 1</v>
      </c>
      <c r="AV23" s="473" t="str">
        <f>Juli!D35</f>
        <v/>
      </c>
    </row>
    <row r="24" spans="1:48" ht="24" customHeight="1">
      <c r="A24" s="331">
        <f>August!A41</f>
        <v>22</v>
      </c>
      <c r="B24" s="38" t="str">
        <f>August!B41</f>
        <v>fr</v>
      </c>
      <c r="C24" s="70" t="str">
        <f>August!C41</f>
        <v>Normal uge 1</v>
      </c>
      <c r="D24" s="332" t="str">
        <f>August!D41</f>
        <v/>
      </c>
      <c r="E24" s="329">
        <f>September!A36</f>
        <v>22</v>
      </c>
      <c r="F24" s="330" t="str">
        <f>September!B36</f>
        <v>ma</v>
      </c>
      <c r="G24" s="69" t="str">
        <f>September!C36</f>
        <v>Normal uge 1</v>
      </c>
      <c r="H24" s="71">
        <f>September!D36</f>
        <v>38.714285714285715</v>
      </c>
      <c r="I24" s="329">
        <f>Oktober!A36</f>
        <v>22</v>
      </c>
      <c r="J24" s="330" t="str">
        <f>Oktober!B36</f>
        <v>on</v>
      </c>
      <c r="K24" s="471" t="str">
        <f>Oktober!C36</f>
        <v>Normal uge 1</v>
      </c>
      <c r="L24" s="473" t="str">
        <f>Oktober!D36</f>
        <v/>
      </c>
      <c r="M24" s="459">
        <f>November!A36</f>
        <v>22</v>
      </c>
      <c r="N24" s="460" t="str">
        <f>November!B36</f>
        <v>lø</v>
      </c>
      <c r="O24" s="472" t="str">
        <f>November!C36</f>
        <v>Weekend</v>
      </c>
      <c r="P24" s="475" t="str">
        <f>November!D36</f>
        <v/>
      </c>
      <c r="Q24" s="470">
        <f>December!A36</f>
        <v>22</v>
      </c>
      <c r="R24" s="468" t="str">
        <f>December!B36</f>
        <v>ma</v>
      </c>
      <c r="S24" s="469" t="str">
        <f>December!C36</f>
        <v>Normal uge 1</v>
      </c>
      <c r="T24" s="476">
        <f>December!D36</f>
        <v>51.714285714285715</v>
      </c>
      <c r="U24" s="329">
        <f>Januar!A36</f>
        <v>22</v>
      </c>
      <c r="V24" s="330" t="str">
        <f>Januar!B36</f>
        <v>to</v>
      </c>
      <c r="W24" s="471" t="str">
        <f>Januar!C36</f>
        <v>Normal uge 1</v>
      </c>
      <c r="X24" s="477" t="str">
        <f>Januar!D36</f>
        <v/>
      </c>
      <c r="Y24" s="459">
        <f>Februar!A36</f>
        <v>22</v>
      </c>
      <c r="Z24" s="460" t="str">
        <f>Februar!B36</f>
        <v>sø</v>
      </c>
      <c r="AA24" s="472" t="str">
        <f>Februar!C36</f>
        <v>Weekend</v>
      </c>
      <c r="AB24" s="475" t="str">
        <f>Februar!D36</f>
        <v/>
      </c>
      <c r="AC24" s="329">
        <f>Marts!A36</f>
        <v>22</v>
      </c>
      <c r="AD24" s="330" t="str">
        <f>Marts!B36</f>
        <v>sø</v>
      </c>
      <c r="AE24" s="471" t="str">
        <f>Marts!C36</f>
        <v>Weekend</v>
      </c>
      <c r="AF24" s="477" t="str">
        <f>Marts!D36</f>
        <v/>
      </c>
      <c r="AG24" s="459">
        <f>April!A36</f>
        <v>22</v>
      </c>
      <c r="AH24" s="460" t="str">
        <f>April!B36</f>
        <v>on</v>
      </c>
      <c r="AI24" s="460" t="str">
        <f>April!C36</f>
        <v>Normal uge 1</v>
      </c>
      <c r="AJ24" s="475" t="str">
        <f>April!D36</f>
        <v/>
      </c>
      <c r="AK24" s="329">
        <f>Maj!A36</f>
        <v>22</v>
      </c>
      <c r="AL24" s="330" t="str">
        <f>Maj!B36</f>
        <v>fr</v>
      </c>
      <c r="AM24" s="471" t="str">
        <f>Maj!C36</f>
        <v>Normal uge 1</v>
      </c>
      <c r="AN24" s="473" t="str">
        <f>Maj!D36</f>
        <v/>
      </c>
      <c r="AO24" s="459">
        <f>Juni!A36</f>
        <v>22</v>
      </c>
      <c r="AP24" s="460" t="str">
        <f>Juni!B36</f>
        <v>ma</v>
      </c>
      <c r="AQ24" s="472" t="str">
        <f>Juni!C36</f>
        <v>Normal uge 1</v>
      </c>
      <c r="AR24" s="475">
        <f>Juni!D36</f>
        <v>25.571428571428573</v>
      </c>
      <c r="AS24" s="329">
        <f>Juli!A36</f>
        <v>22</v>
      </c>
      <c r="AT24" s="330" t="str">
        <f>Juli!B36</f>
        <v>on</v>
      </c>
      <c r="AU24" s="471" t="str">
        <f>Juli!C36</f>
        <v>Normal uge 1</v>
      </c>
      <c r="AV24" s="473" t="str">
        <f>Juli!D36</f>
        <v/>
      </c>
    </row>
    <row r="25" spans="1:48" ht="24" customHeight="1">
      <c r="A25" s="331">
        <f>August!A42</f>
        <v>23</v>
      </c>
      <c r="B25" s="38" t="str">
        <f>August!B42</f>
        <v>lø</v>
      </c>
      <c r="C25" s="70" t="str">
        <f>August!C42</f>
        <v>Weekend</v>
      </c>
      <c r="D25" s="332" t="str">
        <f>August!D42</f>
        <v/>
      </c>
      <c r="E25" s="329">
        <f>September!A37</f>
        <v>23</v>
      </c>
      <c r="F25" s="330" t="str">
        <f>September!B37</f>
        <v>ti</v>
      </c>
      <c r="G25" s="69" t="str">
        <f>September!C37</f>
        <v>Normal uge 1</v>
      </c>
      <c r="H25" s="71" t="str">
        <f>September!D37</f>
        <v/>
      </c>
      <c r="I25" s="329">
        <f>Oktober!A37</f>
        <v>23</v>
      </c>
      <c r="J25" s="330" t="str">
        <f>Oktober!B37</f>
        <v>to</v>
      </c>
      <c r="K25" s="471" t="str">
        <f>Oktober!C37</f>
        <v>Normal uge 1</v>
      </c>
      <c r="L25" s="473" t="str">
        <f>Oktober!D37</f>
        <v/>
      </c>
      <c r="M25" s="459">
        <f>November!A37</f>
        <v>23</v>
      </c>
      <c r="N25" s="460" t="str">
        <f>November!B37</f>
        <v>sø</v>
      </c>
      <c r="O25" s="472" t="str">
        <f>November!C37</f>
        <v>Weekend</v>
      </c>
      <c r="P25" s="475" t="str">
        <f>November!D37</f>
        <v/>
      </c>
      <c r="Q25" s="470">
        <f>December!A37</f>
        <v>23</v>
      </c>
      <c r="R25" s="468" t="str">
        <f>December!B37</f>
        <v>ti</v>
      </c>
      <c r="S25" s="469" t="str">
        <f>December!C37</f>
        <v>Normal uge 1</v>
      </c>
      <c r="T25" s="476" t="str">
        <f>December!D37</f>
        <v/>
      </c>
      <c r="U25" s="329">
        <f>Januar!A37</f>
        <v>23</v>
      </c>
      <c r="V25" s="330" t="str">
        <f>Januar!B37</f>
        <v>fr</v>
      </c>
      <c r="W25" s="471" t="str">
        <f>Januar!C37</f>
        <v>Normal uge 1</v>
      </c>
      <c r="X25" s="477" t="str">
        <f>Januar!D37</f>
        <v/>
      </c>
      <c r="Y25" s="459">
        <f>Februar!A37</f>
        <v>23</v>
      </c>
      <c r="Z25" s="460" t="str">
        <f>Februar!B37</f>
        <v>ma</v>
      </c>
      <c r="AA25" s="472" t="str">
        <f>Februar!C37</f>
        <v>Normal uge 1</v>
      </c>
      <c r="AB25" s="475">
        <f>Februar!D37</f>
        <v>8.5714285714285712</v>
      </c>
      <c r="AC25" s="329">
        <f>Marts!A37</f>
        <v>23</v>
      </c>
      <c r="AD25" s="330" t="str">
        <f>Marts!B37</f>
        <v>ma</v>
      </c>
      <c r="AE25" s="471" t="str">
        <f>Marts!C37</f>
        <v>Normal uge 1</v>
      </c>
      <c r="AF25" s="477">
        <f>Marts!D37</f>
        <v>12.571428571428571</v>
      </c>
      <c r="AG25" s="459">
        <f>April!A37</f>
        <v>23</v>
      </c>
      <c r="AH25" s="460" t="str">
        <f>April!B37</f>
        <v>to</v>
      </c>
      <c r="AI25" s="460" t="str">
        <f>April!C37</f>
        <v>Normal uge 1</v>
      </c>
      <c r="AJ25" s="475" t="str">
        <f>April!D37</f>
        <v/>
      </c>
      <c r="AK25" s="329">
        <f>Maj!A37</f>
        <v>23</v>
      </c>
      <c r="AL25" s="330" t="str">
        <f>Maj!B37</f>
        <v>lø</v>
      </c>
      <c r="AM25" s="471" t="str">
        <f>Maj!C37</f>
        <v>Weekend</v>
      </c>
      <c r="AN25" s="473" t="str">
        <f>Maj!D37</f>
        <v/>
      </c>
      <c r="AO25" s="459">
        <f>Juni!A37</f>
        <v>23</v>
      </c>
      <c r="AP25" s="460" t="str">
        <f>Juni!B37</f>
        <v>ti</v>
      </c>
      <c r="AQ25" s="472" t="str">
        <f>Juni!C37</f>
        <v>Normal uge 1</v>
      </c>
      <c r="AR25" s="475" t="str">
        <f>Juni!D37</f>
        <v/>
      </c>
      <c r="AS25" s="329">
        <f>Juli!A37</f>
        <v>23</v>
      </c>
      <c r="AT25" s="330" t="str">
        <f>Juli!B37</f>
        <v>to</v>
      </c>
      <c r="AU25" s="471" t="str">
        <f>Juli!C37</f>
        <v>Normal uge 1</v>
      </c>
      <c r="AV25" s="473" t="str">
        <f>Juli!D37</f>
        <v/>
      </c>
    </row>
    <row r="26" spans="1:48" ht="24" customHeight="1">
      <c r="A26" s="331">
        <f>August!A43</f>
        <v>24</v>
      </c>
      <c r="B26" s="38" t="str">
        <f>August!B43</f>
        <v>sø</v>
      </c>
      <c r="C26" s="70" t="str">
        <f>August!C43</f>
        <v>Weekend</v>
      </c>
      <c r="D26" s="332" t="str">
        <f>August!D43</f>
        <v/>
      </c>
      <c r="E26" s="329">
        <f>September!A38</f>
        <v>24</v>
      </c>
      <c r="F26" s="330" t="str">
        <f>September!B38</f>
        <v>on</v>
      </c>
      <c r="G26" s="69" t="str">
        <f>September!C38</f>
        <v>Normal uge 1</v>
      </c>
      <c r="H26" s="71" t="str">
        <f>September!D38</f>
        <v/>
      </c>
      <c r="I26" s="329">
        <f>Oktober!A38</f>
        <v>24</v>
      </c>
      <c r="J26" s="330" t="str">
        <f>Oktober!B38</f>
        <v>fr</v>
      </c>
      <c r="K26" s="471" t="str">
        <f>Oktober!C38</f>
        <v>Normal uge 1</v>
      </c>
      <c r="L26" s="473" t="str">
        <f>Oktober!D38</f>
        <v/>
      </c>
      <c r="M26" s="459">
        <f>November!A38</f>
        <v>24</v>
      </c>
      <c r="N26" s="460" t="str">
        <f>November!B38</f>
        <v>ma</v>
      </c>
      <c r="O26" s="472" t="str">
        <f>November!C38</f>
        <v>Normal uge 1</v>
      </c>
      <c r="P26" s="475">
        <f>November!D38</f>
        <v>47.714285714285715</v>
      </c>
      <c r="Q26" s="470">
        <f>December!A38</f>
        <v>24</v>
      </c>
      <c r="R26" s="468" t="str">
        <f>December!B38</f>
        <v>on</v>
      </c>
      <c r="S26" s="469" t="str">
        <f>December!C38</f>
        <v>Normal uge 1</v>
      </c>
      <c r="T26" s="476" t="str">
        <f>December!D38</f>
        <v/>
      </c>
      <c r="U26" s="329">
        <f>Januar!A38</f>
        <v>24</v>
      </c>
      <c r="V26" s="330" t="str">
        <f>Januar!B38</f>
        <v>lø</v>
      </c>
      <c r="W26" s="471" t="str">
        <f>Januar!C38</f>
        <v>Weekend</v>
      </c>
      <c r="X26" s="477" t="str">
        <f>Januar!D38</f>
        <v/>
      </c>
      <c r="Y26" s="459">
        <f>Februar!A38</f>
        <v>24</v>
      </c>
      <c r="Z26" s="460" t="str">
        <f>Februar!B38</f>
        <v>ti</v>
      </c>
      <c r="AA26" s="472" t="str">
        <f>Februar!C38</f>
        <v>Normal uge 1</v>
      </c>
      <c r="AB26" s="475" t="str">
        <f>Februar!D38</f>
        <v/>
      </c>
      <c r="AC26" s="329">
        <f>Marts!A38</f>
        <v>24</v>
      </c>
      <c r="AD26" s="330" t="str">
        <f>Marts!B38</f>
        <v>ti</v>
      </c>
      <c r="AE26" s="471" t="str">
        <f>Marts!C38</f>
        <v>Normal uge 1</v>
      </c>
      <c r="AF26" s="477" t="str">
        <f>Marts!D38</f>
        <v/>
      </c>
      <c r="AG26" s="459">
        <f>April!A38</f>
        <v>24</v>
      </c>
      <c r="AH26" s="460" t="str">
        <f>April!B38</f>
        <v>fr</v>
      </c>
      <c r="AI26" s="460" t="str">
        <f>April!C38</f>
        <v>Normal uge 1</v>
      </c>
      <c r="AJ26" s="475" t="str">
        <f>April!D38</f>
        <v/>
      </c>
      <c r="AK26" s="329">
        <f>Maj!A38</f>
        <v>24</v>
      </c>
      <c r="AL26" s="330" t="str">
        <f>Maj!B38</f>
        <v>sø</v>
      </c>
      <c r="AM26" s="471" t="str">
        <f>Maj!C38</f>
        <v>Weekend</v>
      </c>
      <c r="AN26" s="473" t="str">
        <f>Maj!D38</f>
        <v/>
      </c>
      <c r="AO26" s="459">
        <f>Juni!A38</f>
        <v>24</v>
      </c>
      <c r="AP26" s="460" t="str">
        <f>Juni!B38</f>
        <v>on</v>
      </c>
      <c r="AQ26" s="472" t="str">
        <f>Juni!C38</f>
        <v>Normal uge 1</v>
      </c>
      <c r="AR26" s="475" t="str">
        <f>Juni!D38</f>
        <v/>
      </c>
      <c r="AS26" s="329">
        <f>Juli!A38</f>
        <v>24</v>
      </c>
      <c r="AT26" s="330" t="str">
        <f>Juli!B38</f>
        <v>fr</v>
      </c>
      <c r="AU26" s="471" t="str">
        <f>Juli!C38</f>
        <v>Normal uge 1</v>
      </c>
      <c r="AV26" s="473" t="str">
        <f>Juli!D38</f>
        <v/>
      </c>
    </row>
    <row r="27" spans="1:48" ht="24" customHeight="1">
      <c r="A27" s="331">
        <f>August!A44</f>
        <v>25</v>
      </c>
      <c r="B27" s="38" t="str">
        <f>August!B44</f>
        <v>ma</v>
      </c>
      <c r="C27" s="70" t="str">
        <f>August!C44</f>
        <v>Normal uge 1</v>
      </c>
      <c r="D27" s="332">
        <f>August!D44</f>
        <v>34.714285714285715</v>
      </c>
      <c r="E27" s="329">
        <f>September!A39</f>
        <v>25</v>
      </c>
      <c r="F27" s="330" t="str">
        <f>September!B39</f>
        <v>to</v>
      </c>
      <c r="G27" s="69" t="str">
        <f>September!C39</f>
        <v>Normal uge 1</v>
      </c>
      <c r="H27" s="71" t="str">
        <f>September!D39</f>
        <v/>
      </c>
      <c r="I27" s="329">
        <f>Oktober!A39</f>
        <v>25</v>
      </c>
      <c r="J27" s="330" t="str">
        <f>Oktober!B39</f>
        <v>lø</v>
      </c>
      <c r="K27" s="471" t="str">
        <f>Oktober!C39</f>
        <v>Weekend</v>
      </c>
      <c r="L27" s="473" t="str">
        <f>Oktober!D39</f>
        <v/>
      </c>
      <c r="M27" s="459">
        <f>November!A39</f>
        <v>25</v>
      </c>
      <c r="N27" s="460" t="str">
        <f>November!B39</f>
        <v>ti</v>
      </c>
      <c r="O27" s="472" t="str">
        <f>November!C39</f>
        <v>Normal uge 1</v>
      </c>
      <c r="P27" s="475" t="str">
        <f>November!D39</f>
        <v/>
      </c>
      <c r="Q27" s="470">
        <f>December!A39</f>
        <v>25</v>
      </c>
      <c r="R27" s="468" t="str">
        <f>December!B39</f>
        <v>to</v>
      </c>
      <c r="S27" s="469" t="str">
        <f>December!C39</f>
        <v>SH-dag</v>
      </c>
      <c r="T27" s="476" t="str">
        <f>December!D39</f>
        <v/>
      </c>
      <c r="U27" s="329">
        <f>Januar!A39</f>
        <v>25</v>
      </c>
      <c r="V27" s="330" t="str">
        <f>Januar!B39</f>
        <v>sø</v>
      </c>
      <c r="W27" s="471" t="str">
        <f>Januar!C39</f>
        <v>Weekend</v>
      </c>
      <c r="X27" s="477" t="str">
        <f>Januar!D39</f>
        <v/>
      </c>
      <c r="Y27" s="459">
        <f>Februar!A39</f>
        <v>25</v>
      </c>
      <c r="Z27" s="460" t="str">
        <f>Februar!B39</f>
        <v>on</v>
      </c>
      <c r="AA27" s="472" t="str">
        <f>Februar!C39</f>
        <v>Normal uge 1</v>
      </c>
      <c r="AB27" s="475" t="str">
        <f>Februar!D39</f>
        <v/>
      </c>
      <c r="AC27" s="329">
        <f>Marts!A39</f>
        <v>25</v>
      </c>
      <c r="AD27" s="330" t="str">
        <f>Marts!B39</f>
        <v>on</v>
      </c>
      <c r="AE27" s="471" t="str">
        <f>Marts!C39</f>
        <v>Normal uge 1</v>
      </c>
      <c r="AF27" s="477" t="str">
        <f>Marts!D39</f>
        <v/>
      </c>
      <c r="AG27" s="459">
        <f>April!A39</f>
        <v>25</v>
      </c>
      <c r="AH27" s="460" t="str">
        <f>April!B39</f>
        <v>lø</v>
      </c>
      <c r="AI27" s="460" t="str">
        <f>April!C39</f>
        <v>Weekend</v>
      </c>
      <c r="AJ27" s="475" t="str">
        <f>April!D39</f>
        <v/>
      </c>
      <c r="AK27" s="329">
        <f>Maj!A39</f>
        <v>25</v>
      </c>
      <c r="AL27" s="330" t="str">
        <f>Maj!B39</f>
        <v>ma</v>
      </c>
      <c r="AM27" s="471" t="str">
        <f>Maj!C39</f>
        <v>SH-dag</v>
      </c>
      <c r="AN27" s="473">
        <f>Maj!D39</f>
        <v>21.571428571428573</v>
      </c>
      <c r="AO27" s="459">
        <f>Juni!A39</f>
        <v>25</v>
      </c>
      <c r="AP27" s="460" t="str">
        <f>Juni!B39</f>
        <v>to</v>
      </c>
      <c r="AQ27" s="472" t="str">
        <f>Juni!C39</f>
        <v>Normal uge 1</v>
      </c>
      <c r="AR27" s="475" t="str">
        <f>Juni!D39</f>
        <v/>
      </c>
      <c r="AS27" s="329">
        <f>Juli!A39</f>
        <v>25</v>
      </c>
      <c r="AT27" s="330" t="str">
        <f>Juli!B39</f>
        <v>lø</v>
      </c>
      <c r="AU27" s="471" t="str">
        <f>Juli!C39</f>
        <v>Weekend</v>
      </c>
      <c r="AV27" s="473" t="str">
        <f>Juli!D39</f>
        <v/>
      </c>
    </row>
    <row r="28" spans="1:48" ht="24" customHeight="1">
      <c r="A28" s="331">
        <f>August!A45</f>
        <v>26</v>
      </c>
      <c r="B28" s="38" t="str">
        <f>August!B45</f>
        <v>ti</v>
      </c>
      <c r="C28" s="70" t="str">
        <f>August!C45</f>
        <v>Normal uge 1</v>
      </c>
      <c r="D28" s="332" t="str">
        <f>August!D45</f>
        <v/>
      </c>
      <c r="E28" s="329">
        <f>September!A40</f>
        <v>26</v>
      </c>
      <c r="F28" s="330" t="str">
        <f>September!B40</f>
        <v>fr</v>
      </c>
      <c r="G28" s="69" t="str">
        <f>September!C40</f>
        <v>Normal uge 1</v>
      </c>
      <c r="H28" s="71" t="str">
        <f>September!D40</f>
        <v/>
      </c>
      <c r="I28" s="329">
        <f>Oktober!A40</f>
        <v>26</v>
      </c>
      <c r="J28" s="330" t="str">
        <f>Oktober!B40</f>
        <v>sø</v>
      </c>
      <c r="K28" s="471" t="str">
        <f>Oktober!C40</f>
        <v>Weekend</v>
      </c>
      <c r="L28" s="473" t="str">
        <f>Oktober!D40</f>
        <v/>
      </c>
      <c r="M28" s="459">
        <f>November!A40</f>
        <v>26</v>
      </c>
      <c r="N28" s="460" t="str">
        <f>November!B40</f>
        <v>on</v>
      </c>
      <c r="O28" s="472" t="str">
        <f>November!C40</f>
        <v>Normal uge 1</v>
      </c>
      <c r="P28" s="475" t="str">
        <f>November!D40</f>
        <v/>
      </c>
      <c r="Q28" s="470">
        <f>December!A40</f>
        <v>26</v>
      </c>
      <c r="R28" s="468" t="str">
        <f>December!B40</f>
        <v>fr</v>
      </c>
      <c r="S28" s="469" t="str">
        <f>December!C40</f>
        <v>SH-dag</v>
      </c>
      <c r="T28" s="476" t="str">
        <f>December!D40</f>
        <v/>
      </c>
      <c r="U28" s="329">
        <f>Januar!A40</f>
        <v>26</v>
      </c>
      <c r="V28" s="330" t="str">
        <f>Januar!B40</f>
        <v>ma</v>
      </c>
      <c r="W28" s="471" t="str">
        <f>Januar!C40</f>
        <v>Normal uge 1</v>
      </c>
      <c r="X28" s="477">
        <f>Januar!D40</f>
        <v>4.5714285714285712</v>
      </c>
      <c r="Y28" s="459">
        <f>Februar!A40</f>
        <v>26</v>
      </c>
      <c r="Z28" s="460" t="str">
        <f>Februar!B40</f>
        <v>to</v>
      </c>
      <c r="AA28" s="472" t="str">
        <f>Februar!C40</f>
        <v>Normal uge 1</v>
      </c>
      <c r="AB28" s="475" t="str">
        <f>Februar!D40</f>
        <v/>
      </c>
      <c r="AC28" s="329">
        <f>Marts!A40</f>
        <v>26</v>
      </c>
      <c r="AD28" s="330" t="str">
        <f>Marts!B40</f>
        <v>to</v>
      </c>
      <c r="AE28" s="471" t="str">
        <f>Marts!C40</f>
        <v>Normal uge 1</v>
      </c>
      <c r="AF28" s="477" t="str">
        <f>Marts!D40</f>
        <v/>
      </c>
      <c r="AG28" s="459">
        <f>April!A40</f>
        <v>26</v>
      </c>
      <c r="AH28" s="460" t="str">
        <f>April!B40</f>
        <v>sø</v>
      </c>
      <c r="AI28" s="460" t="str">
        <f>April!C40</f>
        <v>Weekend</v>
      </c>
      <c r="AJ28" s="475" t="str">
        <f>April!D40</f>
        <v/>
      </c>
      <c r="AK28" s="329">
        <f>Maj!A40</f>
        <v>26</v>
      </c>
      <c r="AL28" s="330" t="str">
        <f>Maj!B40</f>
        <v>ti</v>
      </c>
      <c r="AM28" s="471" t="str">
        <f>Maj!C40</f>
        <v>Normal uge 1</v>
      </c>
      <c r="AN28" s="473" t="str">
        <f>Maj!D40</f>
        <v/>
      </c>
      <c r="AO28" s="459">
        <f>Juni!A40</f>
        <v>26</v>
      </c>
      <c r="AP28" s="460" t="str">
        <f>Juni!B40</f>
        <v>fr</v>
      </c>
      <c r="AQ28" s="472" t="str">
        <f>Juni!C40</f>
        <v>Normal uge 1</v>
      </c>
      <c r="AR28" s="475" t="str">
        <f>Juni!D40</f>
        <v/>
      </c>
      <c r="AS28" s="329">
        <f>Juli!A40</f>
        <v>26</v>
      </c>
      <c r="AT28" s="330" t="str">
        <f>Juli!B40</f>
        <v>sø</v>
      </c>
      <c r="AU28" s="471" t="str">
        <f>Juli!C40</f>
        <v>Weekend</v>
      </c>
      <c r="AV28" s="473" t="str">
        <f>Juli!D40</f>
        <v/>
      </c>
    </row>
    <row r="29" spans="1:48" ht="24" customHeight="1">
      <c r="A29" s="331">
        <f>August!A46</f>
        <v>27</v>
      </c>
      <c r="B29" s="38" t="str">
        <f>August!B46</f>
        <v>on</v>
      </c>
      <c r="C29" s="70" t="str">
        <f>August!C46</f>
        <v>Normal uge 1</v>
      </c>
      <c r="D29" s="332" t="str">
        <f>August!D46</f>
        <v/>
      </c>
      <c r="E29" s="329">
        <f>September!A41</f>
        <v>27</v>
      </c>
      <c r="F29" s="330" t="str">
        <f>September!B41</f>
        <v>lø</v>
      </c>
      <c r="G29" s="69" t="str">
        <f>September!C41</f>
        <v>Weekend</v>
      </c>
      <c r="H29" s="71" t="str">
        <f>September!D41</f>
        <v/>
      </c>
      <c r="I29" s="329">
        <f>Oktober!A41</f>
        <v>27</v>
      </c>
      <c r="J29" s="330" t="str">
        <f>Oktober!B41</f>
        <v>ma</v>
      </c>
      <c r="K29" s="471" t="str">
        <f>Oktober!C41</f>
        <v>Normal uge 1</v>
      </c>
      <c r="L29" s="473">
        <f>Oktober!D41</f>
        <v>43.714285714285715</v>
      </c>
      <c r="M29" s="459">
        <f>November!A41</f>
        <v>27</v>
      </c>
      <c r="N29" s="460" t="str">
        <f>November!B41</f>
        <v>to</v>
      </c>
      <c r="O29" s="472" t="str">
        <f>November!C41</f>
        <v>Normal uge 1</v>
      </c>
      <c r="P29" s="475" t="str">
        <f>November!D41</f>
        <v/>
      </c>
      <c r="Q29" s="470">
        <f>December!A41</f>
        <v>27</v>
      </c>
      <c r="R29" s="468" t="str">
        <f>December!B41</f>
        <v>lø</v>
      </c>
      <c r="S29" s="469" t="str">
        <f>December!C41</f>
        <v>Weekend</v>
      </c>
      <c r="T29" s="476" t="str">
        <f>December!D41</f>
        <v/>
      </c>
      <c r="U29" s="329">
        <f>Januar!A41</f>
        <v>27</v>
      </c>
      <c r="V29" s="330" t="str">
        <f>Januar!B41</f>
        <v>ti</v>
      </c>
      <c r="W29" s="471" t="str">
        <f>Januar!C41</f>
        <v>Normal uge 1</v>
      </c>
      <c r="X29" s="477" t="str">
        <f>Januar!D41</f>
        <v/>
      </c>
      <c r="Y29" s="459">
        <f>Februar!A41</f>
        <v>27</v>
      </c>
      <c r="Z29" s="460" t="str">
        <f>Februar!B41</f>
        <v>fr</v>
      </c>
      <c r="AA29" s="472" t="str">
        <f>Februar!C41</f>
        <v>Normal uge 1</v>
      </c>
      <c r="AB29" s="475" t="str">
        <f>Februar!D41</f>
        <v/>
      </c>
      <c r="AC29" s="329">
        <f>Marts!A41</f>
        <v>27</v>
      </c>
      <c r="AD29" s="330" t="str">
        <f>Marts!B41</f>
        <v>fr</v>
      </c>
      <c r="AE29" s="471" t="str">
        <f>Marts!C41</f>
        <v>Normal uge 1</v>
      </c>
      <c r="AF29" s="477" t="str">
        <f>Marts!D41</f>
        <v/>
      </c>
      <c r="AG29" s="459">
        <f>April!A41</f>
        <v>27</v>
      </c>
      <c r="AH29" s="460" t="str">
        <f>April!B41</f>
        <v>ma</v>
      </c>
      <c r="AI29" s="460" t="str">
        <f>April!C41</f>
        <v>Normal uge 1</v>
      </c>
      <c r="AJ29" s="475">
        <f>April!D41</f>
        <v>17.571428571428573</v>
      </c>
      <c r="AK29" s="329">
        <f>Maj!A41</f>
        <v>27</v>
      </c>
      <c r="AL29" s="330" t="str">
        <f>Maj!B41</f>
        <v>on</v>
      </c>
      <c r="AM29" s="471" t="str">
        <f>Maj!C41</f>
        <v>Normal uge 1</v>
      </c>
      <c r="AN29" s="473" t="str">
        <f>Maj!D41</f>
        <v/>
      </c>
      <c r="AO29" s="459">
        <f>Juni!A41</f>
        <v>27</v>
      </c>
      <c r="AP29" s="460" t="str">
        <f>Juni!B41</f>
        <v>lø</v>
      </c>
      <c r="AQ29" s="472" t="str">
        <f>Juni!C41</f>
        <v>Weekend</v>
      </c>
      <c r="AR29" s="475" t="str">
        <f>Juni!D41</f>
        <v/>
      </c>
      <c r="AS29" s="329">
        <f>Juli!A41</f>
        <v>27</v>
      </c>
      <c r="AT29" s="330" t="str">
        <f>Juli!B41</f>
        <v>ma</v>
      </c>
      <c r="AU29" s="471" t="str">
        <f>Juli!C41</f>
        <v>Normal uge 1</v>
      </c>
      <c r="AV29" s="473">
        <f>Juli!D41</f>
        <v>30.571428571428573</v>
      </c>
    </row>
    <row r="30" spans="1:48" ht="24" customHeight="1">
      <c r="A30" s="331">
        <f>August!A47</f>
        <v>28</v>
      </c>
      <c r="B30" s="38" t="str">
        <f>August!B47</f>
        <v>to</v>
      </c>
      <c r="C30" s="70" t="str">
        <f>August!C47</f>
        <v>Normal uge 1</v>
      </c>
      <c r="D30" s="332" t="str">
        <f>August!D47</f>
        <v/>
      </c>
      <c r="E30" s="329">
        <f>September!A42</f>
        <v>28</v>
      </c>
      <c r="F30" s="330" t="str">
        <f>September!B42</f>
        <v>sø</v>
      </c>
      <c r="G30" s="69" t="str">
        <f>September!C42</f>
        <v>Weekend</v>
      </c>
      <c r="H30" s="71" t="str">
        <f>September!D42</f>
        <v/>
      </c>
      <c r="I30" s="329">
        <f>Oktober!A42</f>
        <v>28</v>
      </c>
      <c r="J30" s="330" t="str">
        <f>Oktober!B42</f>
        <v>ti</v>
      </c>
      <c r="K30" s="471" t="str">
        <f>Oktober!C42</f>
        <v>Normal uge 1</v>
      </c>
      <c r="L30" s="473" t="str">
        <f>Oktober!D42</f>
        <v/>
      </c>
      <c r="M30" s="459">
        <f>November!A42</f>
        <v>28</v>
      </c>
      <c r="N30" s="460" t="str">
        <f>November!B42</f>
        <v>fr</v>
      </c>
      <c r="O30" s="472" t="str">
        <f>November!C42</f>
        <v>Normal uge 1</v>
      </c>
      <c r="P30" s="475" t="str">
        <f>November!D42</f>
        <v/>
      </c>
      <c r="Q30" s="470">
        <f>December!A42</f>
        <v>28</v>
      </c>
      <c r="R30" s="468" t="str">
        <f>December!B42</f>
        <v>sø</v>
      </c>
      <c r="S30" s="469" t="str">
        <f>December!C42</f>
        <v>Weekend</v>
      </c>
      <c r="T30" s="476" t="str">
        <f>December!D42</f>
        <v/>
      </c>
      <c r="U30" s="329">
        <f>Januar!A42</f>
        <v>28</v>
      </c>
      <c r="V30" s="330" t="str">
        <f>Januar!B42</f>
        <v>on</v>
      </c>
      <c r="W30" s="471" t="str">
        <f>Januar!C42</f>
        <v>Normal uge 1</v>
      </c>
      <c r="X30" s="477" t="str">
        <f>Januar!D42</f>
        <v/>
      </c>
      <c r="Y30" s="459">
        <f>Februar!A42</f>
        <v>28</v>
      </c>
      <c r="Z30" s="460" t="str">
        <f>Februar!B42</f>
        <v>lø</v>
      </c>
      <c r="AA30" s="472" t="str">
        <f>Februar!C42</f>
        <v>Weekend</v>
      </c>
      <c r="AB30" s="475" t="str">
        <f>Februar!D42</f>
        <v/>
      </c>
      <c r="AC30" s="329">
        <f>Marts!A42</f>
        <v>28</v>
      </c>
      <c r="AD30" s="330" t="str">
        <f>Marts!B42</f>
        <v>lø</v>
      </c>
      <c r="AE30" s="471" t="str">
        <f>Marts!C42</f>
        <v>Weekend</v>
      </c>
      <c r="AF30" s="477" t="str">
        <f>Marts!D42</f>
        <v/>
      </c>
      <c r="AG30" s="459">
        <f>April!A42</f>
        <v>28</v>
      </c>
      <c r="AH30" s="460" t="str">
        <f>April!B42</f>
        <v>ti</v>
      </c>
      <c r="AI30" s="460" t="str">
        <f>April!C42</f>
        <v>Normal uge 1</v>
      </c>
      <c r="AJ30" s="475" t="str">
        <f>April!D42</f>
        <v/>
      </c>
      <c r="AK30" s="329">
        <f>Maj!A42</f>
        <v>28</v>
      </c>
      <c r="AL30" s="330" t="str">
        <f>Maj!B42</f>
        <v>to</v>
      </c>
      <c r="AM30" s="471" t="str">
        <f>Maj!C42</f>
        <v>Normal uge 1</v>
      </c>
      <c r="AN30" s="473" t="str">
        <f>Maj!D42</f>
        <v/>
      </c>
      <c r="AO30" s="459">
        <f>Juni!A42</f>
        <v>28</v>
      </c>
      <c r="AP30" s="460" t="str">
        <f>Juni!B42</f>
        <v>sø</v>
      </c>
      <c r="AQ30" s="472" t="str">
        <f>Juni!C42</f>
        <v>Weekend</v>
      </c>
      <c r="AR30" s="475" t="str">
        <f>Juni!D42</f>
        <v/>
      </c>
      <c r="AS30" s="329">
        <f>Juli!A42</f>
        <v>28</v>
      </c>
      <c r="AT30" s="330" t="str">
        <f>Juli!B42</f>
        <v>ti</v>
      </c>
      <c r="AU30" s="471" t="str">
        <f>Juli!C42</f>
        <v>Normal uge 1</v>
      </c>
      <c r="AV30" s="473" t="str">
        <f>Juli!D42</f>
        <v/>
      </c>
    </row>
    <row r="31" spans="1:48" ht="24" customHeight="1">
      <c r="A31" s="331">
        <f>August!A48</f>
        <v>29</v>
      </c>
      <c r="B31" s="38" t="str">
        <f>August!B48</f>
        <v>fr</v>
      </c>
      <c r="C31" s="70" t="str">
        <f>August!C48</f>
        <v>Normal uge 1</v>
      </c>
      <c r="D31" s="332" t="str">
        <f>August!D48</f>
        <v/>
      </c>
      <c r="E31" s="329">
        <f>September!A43</f>
        <v>29</v>
      </c>
      <c r="F31" s="330" t="str">
        <f>September!B43</f>
        <v>ma</v>
      </c>
      <c r="G31" s="69" t="str">
        <f>September!C43</f>
        <v>Normal uge 1</v>
      </c>
      <c r="H31" s="71">
        <f>September!D43</f>
        <v>39.714285714285715</v>
      </c>
      <c r="I31" s="329">
        <f>Oktober!A43</f>
        <v>29</v>
      </c>
      <c r="J31" s="330" t="str">
        <f>Oktober!B43</f>
        <v>on</v>
      </c>
      <c r="K31" s="471" t="str">
        <f>Oktober!C43</f>
        <v>Normal uge 1</v>
      </c>
      <c r="L31" s="473" t="str">
        <f>Oktober!D43</f>
        <v/>
      </c>
      <c r="M31" s="459">
        <f>November!A43</f>
        <v>29</v>
      </c>
      <c r="N31" s="460" t="str">
        <f>November!B43</f>
        <v>lø</v>
      </c>
      <c r="O31" s="472" t="str">
        <f>November!C43</f>
        <v>Weekend</v>
      </c>
      <c r="P31" s="475" t="str">
        <f>November!D43</f>
        <v/>
      </c>
      <c r="Q31" s="470">
        <f>December!A43</f>
        <v>29</v>
      </c>
      <c r="R31" s="468" t="str">
        <f>December!B43</f>
        <v>ma</v>
      </c>
      <c r="S31" s="469" t="str">
        <f>December!C43</f>
        <v>Normal uge 1</v>
      </c>
      <c r="T31" s="476">
        <f>December!D43</f>
        <v>52.714285714285715</v>
      </c>
      <c r="U31" s="329">
        <f>Januar!A43</f>
        <v>29</v>
      </c>
      <c r="V31" s="330" t="str">
        <f>Januar!B43</f>
        <v>to</v>
      </c>
      <c r="W31" s="471" t="str">
        <f>Januar!C43</f>
        <v>Normal uge 1</v>
      </c>
      <c r="X31" s="477" t="str">
        <f>Januar!D43</f>
        <v/>
      </c>
      <c r="Y31" s="103">
        <f>Februar!A43</f>
        <v>0</v>
      </c>
      <c r="Z31" s="104">
        <f>Februar!B43</f>
        <v>0</v>
      </c>
      <c r="AA31" s="682">
        <f>Februar!C43</f>
        <v>0</v>
      </c>
      <c r="AB31" s="683" t="str">
        <f>Februar!D43</f>
        <v/>
      </c>
      <c r="AC31" s="329">
        <f>Marts!A43</f>
        <v>29</v>
      </c>
      <c r="AD31" s="330" t="str">
        <f>Marts!B43</f>
        <v>sø</v>
      </c>
      <c r="AE31" s="471" t="str">
        <f>Marts!C43</f>
        <v>Weekend</v>
      </c>
      <c r="AF31" s="477" t="str">
        <f>Marts!D43</f>
        <v/>
      </c>
      <c r="AG31" s="459">
        <f>April!A43</f>
        <v>29</v>
      </c>
      <c r="AH31" s="460" t="str">
        <f>April!B43</f>
        <v>on</v>
      </c>
      <c r="AI31" s="460" t="str">
        <f>April!C43</f>
        <v>Normal uge 1</v>
      </c>
      <c r="AJ31" s="475" t="str">
        <f>April!D43</f>
        <v/>
      </c>
      <c r="AK31" s="329">
        <f>Maj!A43</f>
        <v>29</v>
      </c>
      <c r="AL31" s="330" t="str">
        <f>Maj!B43</f>
        <v>fr</v>
      </c>
      <c r="AM31" s="471" t="str">
        <f>Maj!C43</f>
        <v>Normal uge 1</v>
      </c>
      <c r="AN31" s="473" t="str">
        <f>Maj!D43</f>
        <v/>
      </c>
      <c r="AO31" s="459">
        <f>Juni!A43</f>
        <v>29</v>
      </c>
      <c r="AP31" s="460" t="str">
        <f>Juni!B43</f>
        <v>ma</v>
      </c>
      <c r="AQ31" s="472" t="str">
        <f>Juni!C43</f>
        <v>Normal uge 1</v>
      </c>
      <c r="AR31" s="475">
        <f>Juni!D43</f>
        <v>26.571428571428573</v>
      </c>
      <c r="AS31" s="329">
        <f>Juli!A43</f>
        <v>29</v>
      </c>
      <c r="AT31" s="330" t="str">
        <f>Juli!B43</f>
        <v>on</v>
      </c>
      <c r="AU31" s="471" t="str">
        <f>Juli!C43</f>
        <v>Normal uge 1</v>
      </c>
      <c r="AV31" s="473" t="str">
        <f>Juli!D43</f>
        <v/>
      </c>
    </row>
    <row r="32" spans="1:48" ht="24" customHeight="1">
      <c r="A32" s="331">
        <f>August!A49</f>
        <v>30</v>
      </c>
      <c r="B32" s="38" t="str">
        <f>August!B49</f>
        <v>lø</v>
      </c>
      <c r="C32" s="70" t="str">
        <f>August!C49</f>
        <v>Weekend</v>
      </c>
      <c r="D32" s="332" t="str">
        <f>August!D49</f>
        <v/>
      </c>
      <c r="E32" s="329">
        <f>September!A44</f>
        <v>30</v>
      </c>
      <c r="F32" s="330" t="str">
        <f>September!B44</f>
        <v>ti</v>
      </c>
      <c r="G32" s="69" t="str">
        <f>September!C44</f>
        <v>Normal uge 1</v>
      </c>
      <c r="H32" s="71" t="str">
        <f>September!D44</f>
        <v/>
      </c>
      <c r="I32" s="329">
        <f>Oktober!A44</f>
        <v>30</v>
      </c>
      <c r="J32" s="330" t="str">
        <f>Oktober!B44</f>
        <v>to</v>
      </c>
      <c r="K32" s="471" t="str">
        <f>Oktober!C44</f>
        <v>Normal uge 1</v>
      </c>
      <c r="L32" s="473" t="str">
        <f>Oktober!D44</f>
        <v/>
      </c>
      <c r="M32" s="459">
        <f>November!A44</f>
        <v>30</v>
      </c>
      <c r="N32" s="460" t="str">
        <f>November!B44</f>
        <v>sø</v>
      </c>
      <c r="O32" s="472" t="str">
        <f>November!C44</f>
        <v>Weekend</v>
      </c>
      <c r="P32" s="475" t="str">
        <f>November!D44</f>
        <v/>
      </c>
      <c r="Q32" s="470">
        <f>December!A44</f>
        <v>30</v>
      </c>
      <c r="R32" s="468" t="str">
        <f>December!B44</f>
        <v>ti</v>
      </c>
      <c r="S32" s="469" t="str">
        <f>December!C44</f>
        <v>Normal uge 1</v>
      </c>
      <c r="T32" s="476">
        <f>December!D44</f>
        <v>1</v>
      </c>
      <c r="U32" s="329">
        <f>Januar!A44</f>
        <v>30</v>
      </c>
      <c r="V32" s="330" t="str">
        <f>Januar!B44</f>
        <v>fr</v>
      </c>
      <c r="W32" s="471" t="str">
        <f>Januar!C44</f>
        <v>Normal uge 1</v>
      </c>
      <c r="X32" s="477" t="str">
        <f>Januar!D44</f>
        <v/>
      </c>
      <c r="Y32" s="51"/>
      <c r="Z32" s="52"/>
      <c r="AA32" s="52"/>
      <c r="AB32" s="681"/>
      <c r="AC32" s="329">
        <f>Marts!A44</f>
        <v>30</v>
      </c>
      <c r="AD32" s="330" t="str">
        <f>Marts!B44</f>
        <v>ma</v>
      </c>
      <c r="AE32" s="471" t="str">
        <f>Marts!C44</f>
        <v>Normal uge 1</v>
      </c>
      <c r="AF32" s="477">
        <f>Marts!D44</f>
        <v>13.571428571428571</v>
      </c>
      <c r="AG32" s="459">
        <f>April!A44</f>
        <v>30</v>
      </c>
      <c r="AH32" s="460" t="str">
        <f>April!B44</f>
        <v>to</v>
      </c>
      <c r="AI32" s="460" t="str">
        <f>April!C44</f>
        <v>Normal uge 1</v>
      </c>
      <c r="AJ32" s="475" t="str">
        <f>April!D44</f>
        <v/>
      </c>
      <c r="AK32" s="329">
        <f>Maj!A44</f>
        <v>30</v>
      </c>
      <c r="AL32" s="330" t="str">
        <f>Maj!B44</f>
        <v>lø</v>
      </c>
      <c r="AM32" s="471" t="str">
        <f>Maj!C44</f>
        <v>Weekend</v>
      </c>
      <c r="AN32" s="473" t="str">
        <f>Maj!D44</f>
        <v/>
      </c>
      <c r="AO32" s="459">
        <f>Juni!A44</f>
        <v>30</v>
      </c>
      <c r="AP32" s="460" t="str">
        <f>Juni!B44</f>
        <v>ti</v>
      </c>
      <c r="AQ32" s="472" t="str">
        <f>Juni!C44</f>
        <v>Normal uge 1</v>
      </c>
      <c r="AR32" s="475" t="str">
        <f>Juni!D44</f>
        <v/>
      </c>
      <c r="AS32" s="329">
        <f>Juli!A44</f>
        <v>30</v>
      </c>
      <c r="AT32" s="330" t="str">
        <f>Juli!B44</f>
        <v>to</v>
      </c>
      <c r="AU32" s="471" t="str">
        <f>Juli!C44</f>
        <v>Normal uge 1</v>
      </c>
      <c r="AV32" s="473" t="str">
        <f>Juli!D44</f>
        <v/>
      </c>
    </row>
    <row r="33" spans="1:48" ht="24" customHeight="1">
      <c r="A33" s="333">
        <f>August!A50</f>
        <v>31</v>
      </c>
      <c r="B33" s="334" t="str">
        <f>August!B50</f>
        <v>sø</v>
      </c>
      <c r="C33" s="61" t="str">
        <f>August!C50</f>
        <v>Weekend</v>
      </c>
      <c r="D33" s="335" t="str">
        <f>August!D50</f>
        <v/>
      </c>
      <c r="E33" s="40"/>
      <c r="F33" s="40"/>
      <c r="G33" s="41"/>
      <c r="H33" s="42"/>
      <c r="I33" s="459">
        <f>Oktober!A45</f>
        <v>31</v>
      </c>
      <c r="J33" s="460" t="str">
        <f>Oktober!B45</f>
        <v>fr</v>
      </c>
      <c r="K33" s="472" t="str">
        <f>Oktober!C45</f>
        <v>Normal uge 1</v>
      </c>
      <c r="L33" s="474" t="str">
        <f>Oktober!D45</f>
        <v/>
      </c>
      <c r="M33" s="462"/>
      <c r="N33" s="463"/>
      <c r="O33" s="463"/>
      <c r="P33" s="464"/>
      <c r="Q33" s="470">
        <f>December!A45</f>
        <v>31</v>
      </c>
      <c r="R33" s="468" t="str">
        <f>December!B45</f>
        <v>on</v>
      </c>
      <c r="S33" s="469" t="str">
        <f>December!C45</f>
        <v>Normal uge 1</v>
      </c>
      <c r="T33" s="476" t="str">
        <f>December!D45</f>
        <v/>
      </c>
      <c r="U33" s="459">
        <f>Januar!A45</f>
        <v>31</v>
      </c>
      <c r="V33" s="460" t="str">
        <f>Januar!B45</f>
        <v>lø</v>
      </c>
      <c r="W33" s="472" t="str">
        <f>Januar!C45</f>
        <v>Weekend</v>
      </c>
      <c r="X33" s="475" t="str">
        <f>Januar!D45</f>
        <v/>
      </c>
      <c r="Y33" s="51"/>
      <c r="Z33" s="52"/>
      <c r="AA33" s="53"/>
      <c r="AB33" s="54"/>
      <c r="AC33" s="459">
        <f>Marts!A45</f>
        <v>31</v>
      </c>
      <c r="AD33" s="460" t="str">
        <f>Marts!B45</f>
        <v>ti</v>
      </c>
      <c r="AE33" s="472" t="str">
        <f>Marts!C45</f>
        <v>Normal uge 1</v>
      </c>
      <c r="AF33" s="475" t="str">
        <f>Marts!D45</f>
        <v/>
      </c>
      <c r="AG33" s="39"/>
      <c r="AH33" s="40"/>
      <c r="AI33" s="41"/>
      <c r="AJ33" s="336"/>
      <c r="AK33" s="459">
        <f>Maj!A45</f>
        <v>31</v>
      </c>
      <c r="AL33" s="460" t="str">
        <f>Maj!B45</f>
        <v>sø</v>
      </c>
      <c r="AM33" s="472" t="str">
        <f>Maj!C45</f>
        <v>Weekend</v>
      </c>
      <c r="AN33" s="474" t="str">
        <f>Maj!D45</f>
        <v/>
      </c>
      <c r="AO33" s="52"/>
      <c r="AP33" s="52"/>
      <c r="AQ33" s="53"/>
      <c r="AR33" s="54"/>
      <c r="AS33" s="459">
        <f>Juli!A45</f>
        <v>31</v>
      </c>
      <c r="AT33" s="460" t="str">
        <f>Juli!B45</f>
        <v>fr</v>
      </c>
      <c r="AU33" s="472" t="str">
        <f>Juli!C45</f>
        <v>Normal uge 1</v>
      </c>
      <c r="AV33" s="474" t="str">
        <f>Juli!D45</f>
        <v/>
      </c>
    </row>
    <row r="34" spans="1:48" ht="13">
      <c r="A34" s="44"/>
      <c r="B34" s="306">
        <f>August!H54-August!H56</f>
        <v>21</v>
      </c>
      <c r="C34" s="44" t="s">
        <v>75</v>
      </c>
      <c r="D34" s="44"/>
      <c r="E34" s="44"/>
      <c r="F34" s="306">
        <f>September!H48-September!H50</f>
        <v>22</v>
      </c>
      <c r="G34" s="44" t="s">
        <v>75</v>
      </c>
      <c r="H34" s="44"/>
      <c r="I34" s="43"/>
      <c r="J34" s="602">
        <f>Oktober!H49-Oktober!H51</f>
        <v>23</v>
      </c>
      <c r="K34" s="43" t="s">
        <v>75</v>
      </c>
      <c r="L34" s="43"/>
      <c r="M34" s="44"/>
      <c r="N34" s="306">
        <f>November!H48-November!H50</f>
        <v>20</v>
      </c>
      <c r="O34" s="44" t="s">
        <v>75</v>
      </c>
      <c r="P34" s="44"/>
      <c r="Q34" s="43"/>
      <c r="R34" s="602">
        <f>December!H49-December!H51</f>
        <v>21</v>
      </c>
      <c r="S34" s="43" t="s">
        <v>75</v>
      </c>
      <c r="T34" s="43"/>
      <c r="U34" s="45"/>
      <c r="V34" s="603">
        <f>Januar!H49-Januar!H51</f>
        <v>21</v>
      </c>
      <c r="W34" s="43" t="s">
        <v>75</v>
      </c>
      <c r="X34" s="46"/>
      <c r="Y34" s="44"/>
      <c r="Z34" s="306">
        <f>Februar!H47-Februar!H49</f>
        <v>20</v>
      </c>
      <c r="AA34" s="44" t="s">
        <v>75</v>
      </c>
      <c r="AB34" s="44"/>
      <c r="AC34" s="43"/>
      <c r="AD34" s="602">
        <f>Marts!H49-Marts!H51</f>
        <v>22</v>
      </c>
      <c r="AE34" s="43" t="s">
        <v>75</v>
      </c>
      <c r="AF34" s="43"/>
      <c r="AG34" s="44"/>
      <c r="AH34" s="306">
        <f>April!H48-April!H50</f>
        <v>19</v>
      </c>
      <c r="AI34" s="44" t="s">
        <v>75</v>
      </c>
      <c r="AJ34" s="44"/>
      <c r="AK34" s="43"/>
      <c r="AL34" s="602">
        <f>Maj!H49-Maj!H51</f>
        <v>19</v>
      </c>
      <c r="AM34" s="43" t="s">
        <v>75</v>
      </c>
      <c r="AN34" s="43"/>
      <c r="AO34" s="44"/>
      <c r="AP34" s="306">
        <f>Juni!H48-Juni!H50</f>
        <v>22</v>
      </c>
      <c r="AQ34" s="44" t="s">
        <v>75</v>
      </c>
      <c r="AR34" s="44"/>
      <c r="AS34" s="43"/>
      <c r="AT34" s="305">
        <f>Juli!H49-Juli!H51</f>
        <v>23</v>
      </c>
      <c r="AU34" s="43" t="s">
        <v>75</v>
      </c>
      <c r="AV34" s="43"/>
    </row>
    <row r="35" spans="1:48" ht="24" customHeight="1">
      <c r="A35" s="85" t="s">
        <v>88</v>
      </c>
      <c r="B35" s="86"/>
      <c r="C35" s="86"/>
      <c r="D35" s="87"/>
      <c r="E35" s="88"/>
      <c r="F35" s="86"/>
      <c r="G35" s="89">
        <f>August!D88-August!D85+September!D82-September!D79+Oktober!D83-Oktober!D80+November!D82-November!D79+December!D83-December!D80+Januar!D83-Januar!D80+Februar!D81-Februar!D78+Marts!D83-Marts!D80+April!D82-April!D79+Maj!D83-Maj!D80+Juni!D82-Juni!D79+Juli!D83-Juli!D80</f>
        <v>365</v>
      </c>
      <c r="H35" s="58"/>
      <c r="I35" s="75" t="s">
        <v>86</v>
      </c>
      <c r="J35" s="76"/>
      <c r="K35" s="76"/>
      <c r="L35" s="76"/>
      <c r="M35" s="77"/>
      <c r="N35" s="76"/>
      <c r="O35" s="78">
        <f>August!D86+August!A98+September!D80+September!A92+Oktober!D81+Oktober!A93+November!D80+November!A92+December!D81+December!A93+Januar!D81+Januar!A93+Februar!D79+Februar!A91+Marts!D81+Marts!A93+April!D80+April!A92+Maj!D81+Maj!A93+Juni!D80+Juni!A92+Juli!D81+Juli!A93</f>
        <v>104</v>
      </c>
      <c r="P35" s="58"/>
      <c r="Q35" s="79" t="s">
        <v>87</v>
      </c>
      <c r="R35" s="80"/>
      <c r="S35" s="80"/>
      <c r="T35" s="80"/>
      <c r="U35" s="81"/>
      <c r="V35" s="80"/>
      <c r="W35" s="507">
        <f>Arbejdstidsoversigt!G17</f>
        <v>8</v>
      </c>
      <c r="X35" s="58"/>
      <c r="Y35" s="82" t="s">
        <v>89</v>
      </c>
      <c r="Z35" s="83"/>
      <c r="AA35" s="83"/>
      <c r="AB35" s="83"/>
      <c r="AC35" s="84"/>
      <c r="AD35" s="83"/>
      <c r="AE35" s="508">
        <f>Arbejdstidsoversigt!G18</f>
        <v>0</v>
      </c>
      <c r="AF35" s="58"/>
      <c r="AG35" s="271" t="s">
        <v>90</v>
      </c>
      <c r="AH35" s="272"/>
      <c r="AI35" s="272"/>
      <c r="AJ35" s="272"/>
      <c r="AK35" s="273"/>
      <c r="AL35" s="272"/>
      <c r="AM35" s="274">
        <f>August!D83+September!D77+Oktober!D78+November!D77+December!D78+Januar!D78+Februar!D76+Marts!D78+April!D77+Maj!D78+Juni!D77+Juli!D78</f>
        <v>0</v>
      </c>
      <c r="AP35" s="93" t="s">
        <v>100</v>
      </c>
      <c r="AQ35" s="91"/>
      <c r="AR35" s="91"/>
      <c r="AS35" s="91"/>
      <c r="AT35" s="92"/>
      <c r="AU35" s="91"/>
      <c r="AV35" s="270">
        <f>August!D85+September!D79+Oktober!D80+November!D79+December!D80+Januar!D80+Februar!D78+Marts!D80+April!D79+Maj!D80+Juni!D79+Juli!D80</f>
        <v>0</v>
      </c>
    </row>
    <row r="36" spans="1:48" ht="13" thickBot="1"/>
    <row r="37" spans="1:48" ht="24" customHeight="1" thickBot="1">
      <c r="A37" s="513" t="s">
        <v>314</v>
      </c>
      <c r="B37" s="514"/>
      <c r="C37" s="514"/>
      <c r="D37" s="514"/>
      <c r="E37" s="515"/>
      <c r="F37" s="514"/>
      <c r="G37" s="516">
        <f>August!D65+September!D59+Oktober!D60+November!D59+December!D60+Januar!D60+Februar!D58+Marts!D60+April!D59+Maj!D60+Juni!D59+Juli!D60</f>
        <v>253</v>
      </c>
      <c r="I37" s="517" t="s">
        <v>315</v>
      </c>
      <c r="J37" s="518"/>
      <c r="K37" s="518"/>
      <c r="L37" s="518"/>
      <c r="M37" s="519"/>
      <c r="N37" s="518"/>
      <c r="O37" s="520">
        <f>August!D66+September!D60+Oktober!D61+November!D60+December!D61+Januar!D61+Februar!D59+Marts!D61+April!D60+Maj!D61+Juni!D60+Juli!D61</f>
        <v>0</v>
      </c>
      <c r="Q37" s="521" t="s">
        <v>316</v>
      </c>
      <c r="R37" s="522"/>
      <c r="S37" s="522"/>
      <c r="T37" s="522"/>
      <c r="U37" s="523"/>
      <c r="V37" s="522"/>
      <c r="W37" s="524">
        <f>August!D67+September!D61+Oktober!D62+November!D61+December!D62+Januar!D62+Februar!D60+Marts!D62+April!D61+Maj!D62+Juni!D61+Juli!D62</f>
        <v>0</v>
      </c>
      <c r="Y37" s="525" t="s">
        <v>317</v>
      </c>
      <c r="Z37" s="526"/>
      <c r="AA37" s="526"/>
      <c r="AB37" s="526"/>
      <c r="AC37" s="527"/>
      <c r="AD37" s="526"/>
      <c r="AE37" s="528">
        <f>August!D68+September!D62+Oktober!D63+November!D62+December!D63+Januar!D63+Februar!D61+Marts!D63+April!D62+Maj!D63+Juni!D62+Juli!D63</f>
        <v>0</v>
      </c>
      <c r="AG37" s="670" t="s">
        <v>470</v>
      </c>
      <c r="AH37" s="671"/>
      <c r="AI37" s="671"/>
      <c r="AJ37" s="671"/>
      <c r="AK37" s="672"/>
      <c r="AL37" s="671"/>
      <c r="AM37" s="673">
        <f>August!D69+September!D63+Oktober!D64+November!D63+December!D64+Januar!D64+Februar!D62+Marts!D64+April!D63+Maj!D64+Juni!D63+Juli!D64</f>
        <v>0</v>
      </c>
      <c r="AN37" s="569"/>
      <c r="AO37" s="570"/>
      <c r="AP37" s="676" t="s">
        <v>471</v>
      </c>
      <c r="AQ37" s="677"/>
      <c r="AR37" s="677"/>
      <c r="AS37" s="677"/>
      <c r="AT37" s="678"/>
      <c r="AU37" s="1131">
        <f>August!D70+September!D64+Oktober!D65+November!D64+December!D65+Januar!D65+Februar!D63+Marts!D65+April!D64+Maj!D65+Juni!D64+Juli!D65</f>
        <v>0</v>
      </c>
      <c r="AV37" s="1132"/>
    </row>
    <row r="39" spans="1:48" ht="23" customHeight="1">
      <c r="A39" s="509" t="s">
        <v>319</v>
      </c>
      <c r="B39" s="510"/>
      <c r="C39" s="510"/>
      <c r="D39" s="510"/>
      <c r="E39" s="511"/>
      <c r="F39" s="510"/>
      <c r="G39" s="512">
        <f>August!D72+September!D66+Oktober!D67+November!D66+December!D67+Januar!D67+Februar!D65+Marts!D67+April!D66+Maj!D67+Juni!D66+Juli!D67</f>
        <v>0</v>
      </c>
      <c r="I39" s="537" t="s">
        <v>320</v>
      </c>
      <c r="J39" s="538"/>
      <c r="K39" s="538"/>
      <c r="L39" s="538"/>
      <c r="M39" s="539"/>
      <c r="N39" s="538"/>
      <c r="O39" s="540">
        <f>August!D80+September!D74+Oktober!D75+November!D74+December!D75+Januar!D75+Februar!D73+Marts!D75+April!D74+Maj!D75+Juni!D74+Juli!D75</f>
        <v>0</v>
      </c>
      <c r="Q39" s="533" t="s">
        <v>321</v>
      </c>
      <c r="R39" s="534"/>
      <c r="S39" s="534"/>
      <c r="T39" s="534"/>
      <c r="U39" s="535"/>
      <c r="V39" s="534"/>
      <c r="W39" s="536">
        <f>August!D81+September!D75+Oktober!D76+November!D75+December!D76+Januar!D76+Februar!D74+Marts!D76+April!D75+Maj!D76+Juni!D75+Juli!D76</f>
        <v>0</v>
      </c>
      <c r="Y39" s="541" t="s">
        <v>322</v>
      </c>
      <c r="Z39" s="542"/>
      <c r="AA39" s="542"/>
      <c r="AB39" s="542"/>
      <c r="AC39" s="543"/>
      <c r="AD39" s="542"/>
      <c r="AE39" s="544">
        <f>August!D79+September!D73+Oktober!D74+November!D73+December!D74+Januar!D74+Februar!D72+Marts!D74+April!D73+Maj!D74+Juni!D73+Juli!D74</f>
        <v>0</v>
      </c>
      <c r="AG39" s="529" t="s">
        <v>318</v>
      </c>
      <c r="AH39" s="530"/>
      <c r="AI39" s="530"/>
      <c r="AJ39" s="530"/>
      <c r="AK39" s="531"/>
      <c r="AL39" s="530"/>
      <c r="AM39" s="532">
        <f>August!$D$71+September!$D$65+Oktober!$D$66+November!$D$65+December!$D$66+Januar!$D$66+Februar!$D$64+Marts!$D$66+April!$D$65+Maj!$D$66+Juni!$D$65+Juli!$D$66</f>
        <v>0</v>
      </c>
      <c r="AN39" s="571"/>
      <c r="AP39" s="264" t="s">
        <v>178</v>
      </c>
      <c r="AQ39" s="265"/>
      <c r="AR39" s="265"/>
      <c r="AS39" s="265"/>
      <c r="AT39" s="266"/>
      <c r="AU39" s="265"/>
      <c r="AV39" s="267">
        <f>August!$D$84+September!$D$78+Oktober!$D$79+November!$D$78+December!$D$79+Januar!$D$79+Februar!$D$77+Marts!$D$79+April!$D$78+Maj!$D$79+Juni!$D$78+Juli!$D$79</f>
        <v>0</v>
      </c>
    </row>
    <row r="41" spans="1:48" ht="24" customHeight="1">
      <c r="A41" s="545" t="s">
        <v>323</v>
      </c>
      <c r="B41" s="546"/>
      <c r="C41" s="546"/>
      <c r="D41" s="546"/>
      <c r="E41" s="547"/>
      <c r="F41" s="546"/>
      <c r="G41" s="548">
        <f>August!$D$73+September!$D$67+Oktober!$D$68+November!$D$67+December!$D$68+Januar!$D$68+Februar!$D$66+Marts!$D$68+April!$D$67+Maj!$D$68+Juni!$D$67+Juli!$D$68</f>
        <v>0</v>
      </c>
      <c r="I41" s="549" t="s">
        <v>324</v>
      </c>
      <c r="J41" s="550"/>
      <c r="K41" s="550"/>
      <c r="L41" s="550"/>
      <c r="M41" s="551"/>
      <c r="N41" s="550"/>
      <c r="O41" s="552">
        <f>August!$D$74+September!$D$68+Oktober!$D$69+November!$D$68+December!$D$69+Januar!$D$69+Februar!$D$67+Marts!$D$69+April!$D$68+Maj!$D$69+Juni!$D$68+Juli!$D$69</f>
        <v>0</v>
      </c>
      <c r="Q41" s="553" t="s">
        <v>325</v>
      </c>
      <c r="R41" s="554"/>
      <c r="S41" s="554"/>
      <c r="T41" s="554"/>
      <c r="U41" s="555"/>
      <c r="V41" s="554"/>
      <c r="W41" s="556">
        <f>August!$D$75+September!$D$69+Oktober!$D$70+November!$D$69+December!$D$70+Januar!$D$70+Februar!$D$68+Marts!$D$70+April!$D$69+Maj!$D$70+Juni!$D$69+Juli!$D$70</f>
        <v>0</v>
      </c>
      <c r="Y41" s="557" t="s">
        <v>326</v>
      </c>
      <c r="Z41" s="558"/>
      <c r="AA41" s="558"/>
      <c r="AB41" s="558"/>
      <c r="AC41" s="559"/>
      <c r="AD41" s="558"/>
      <c r="AE41" s="560">
        <f>August!$D$76+September!$D$70+Oktober!$D$71+November!$D$70+December!$D$71+Januar!$D$71+Februar!$D$69+Marts!$D$71+April!$D$70+Maj!$D$71+Juni!$D$70+Juli!$D$71</f>
        <v>0</v>
      </c>
      <c r="AG41" s="561" t="s">
        <v>327</v>
      </c>
      <c r="AH41" s="562"/>
      <c r="AI41" s="562"/>
      <c r="AJ41" s="562"/>
      <c r="AK41" s="563"/>
      <c r="AL41" s="562"/>
      <c r="AM41" s="564">
        <f>August!$D$77+September!$D$71+Oktober!$D$72+November!$D$71+December!$D$72+Januar!$D$72+Februar!$D$70+Marts!$D$72+April!$D$71+Maj!$D$72+Juni!$D$71+Juli!$D$72</f>
        <v>0</v>
      </c>
      <c r="AP41" s="565" t="s">
        <v>328</v>
      </c>
      <c r="AQ41" s="566"/>
      <c r="AR41" s="566"/>
      <c r="AS41" s="566"/>
      <c r="AT41" s="567"/>
      <c r="AU41" s="566"/>
      <c r="AV41" s="568">
        <f>August!$D$78+September!$D$72+Oktober!$D$73+November!$D$72+December!$D$73+Januar!$D$73+Februar!$D$71+Marts!$D$73+April!$D$72+Maj!$D$73+Juni!$D$72+Juli!$D$73</f>
        <v>0</v>
      </c>
    </row>
    <row r="43" spans="1:48" ht="23" customHeight="1">
      <c r="A43" s="1133" t="s">
        <v>356</v>
      </c>
      <c r="B43" s="1134"/>
      <c r="C43" s="1134"/>
      <c r="D43" s="1134"/>
      <c r="E43" s="1134"/>
      <c r="F43" s="1134"/>
      <c r="G43" s="1135"/>
      <c r="H43" s="585"/>
      <c r="I43" s="1136" t="s">
        <v>357</v>
      </c>
      <c r="J43" s="1137"/>
      <c r="K43" s="1137"/>
      <c r="L43" s="1137"/>
      <c r="M43" s="1137"/>
      <c r="N43" s="1137"/>
      <c r="O43" s="1138"/>
      <c r="P43" s="585"/>
      <c r="Q43" s="1139" t="s">
        <v>358</v>
      </c>
      <c r="R43" s="1140"/>
      <c r="S43" s="1140"/>
      <c r="T43" s="1140"/>
      <c r="U43" s="1140"/>
      <c r="V43" s="1140"/>
      <c r="W43" s="1141"/>
      <c r="X43" s="585"/>
      <c r="Y43" s="1142" t="s">
        <v>359</v>
      </c>
      <c r="Z43" s="1143"/>
      <c r="AA43" s="1143"/>
      <c r="AB43" s="1143"/>
      <c r="AC43" s="1143"/>
      <c r="AD43" s="1143"/>
      <c r="AE43" s="1144"/>
      <c r="AF43" s="585"/>
      <c r="AG43" s="1145" t="s">
        <v>472</v>
      </c>
      <c r="AH43" s="1146"/>
      <c r="AI43" s="1146"/>
      <c r="AJ43" s="1146"/>
      <c r="AK43" s="1146"/>
      <c r="AL43" s="1146"/>
      <c r="AM43" s="1147"/>
      <c r="AP43" s="1128" t="s">
        <v>473</v>
      </c>
      <c r="AQ43" s="1129"/>
      <c r="AR43" s="1129"/>
      <c r="AS43" s="1129"/>
      <c r="AT43" s="1129"/>
      <c r="AU43" s="1129"/>
      <c r="AV43" s="1130"/>
    </row>
    <row r="44" spans="1:48" ht="23" customHeight="1">
      <c r="A44" s="590" t="s">
        <v>351</v>
      </c>
      <c r="B44" s="591"/>
      <c r="C44" s="591"/>
      <c r="D44" s="591"/>
      <c r="E44" s="591"/>
      <c r="F44" s="591"/>
      <c r="G44" s="692">
        <f>August!CA52+September!CA46+Oktober!CA47+November!CA46+December!CA47+Januar!CA47+Februar!CA45+Marts!CA47+April!CA46+Maj!CA47+Juni!CA46+Juli!CA47</f>
        <v>0</v>
      </c>
      <c r="H44" s="585"/>
      <c r="I44" s="517" t="s">
        <v>351</v>
      </c>
      <c r="J44" s="589"/>
      <c r="K44" s="589"/>
      <c r="L44" s="589"/>
      <c r="M44" s="589"/>
      <c r="N44" s="589"/>
      <c r="O44" s="702">
        <f>August!CF52+September!CF46+Oktober!CF47+November!CF46+December!CF47+Januar!CF47+Februar!CF45+Marts!CF47+April!CF46+Maj!CF47+Juni!CF46+Juli!CF47</f>
        <v>0</v>
      </c>
      <c r="P44" s="585"/>
      <c r="Q44" s="521" t="s">
        <v>351</v>
      </c>
      <c r="R44" s="588"/>
      <c r="S44" s="588"/>
      <c r="T44" s="588"/>
      <c r="U44" s="588"/>
      <c r="V44" s="588"/>
      <c r="W44" s="703">
        <f>August!CK52+September!CK46+Oktober!CK47+November!CK46+December!CK47+Januar!CK47+Februar!CK45+Marts!CK47+April!CK46+Maj!CK47+Juni!CK46+Juli!CK47</f>
        <v>0</v>
      </c>
      <c r="X44" s="585"/>
      <c r="Y44" s="586" t="s">
        <v>351</v>
      </c>
      <c r="Z44" s="587"/>
      <c r="AA44" s="587"/>
      <c r="AB44" s="587"/>
      <c r="AC44" s="587"/>
      <c r="AD44" s="587"/>
      <c r="AE44" s="704">
        <f>August!CP52+September!CP46+Oktober!CP47+November!CP46+December!CP47+Januar!CP47+Februar!CP45+Marts!CP47+April!CP46+Maj!CP47+Juni!CP46+Juli!CP47</f>
        <v>0</v>
      </c>
      <c r="AF44" s="585"/>
      <c r="AG44" s="674" t="s">
        <v>351</v>
      </c>
      <c r="AH44" s="675"/>
      <c r="AI44" s="675"/>
      <c r="AJ44" s="675"/>
      <c r="AK44" s="675"/>
      <c r="AL44" s="675"/>
      <c r="AM44" s="705">
        <f>August!CU52+September!CU46+Oktober!CU47+November!CU46+December!CU47+Januar!CU47+Februar!CU45+Marts!CU47+April!CU46+Maj!CU47+Juni!CU46+Juli!CU47</f>
        <v>0</v>
      </c>
      <c r="AP44" s="679" t="s">
        <v>351</v>
      </c>
      <c r="AQ44" s="680"/>
      <c r="AR44" s="680"/>
      <c r="AS44" s="680"/>
      <c r="AT44" s="680"/>
      <c r="AU44" s="680"/>
      <c r="AV44" s="706">
        <f>August!CZ52+September!CZ46+Oktober!CZ47+November!CZ46+December!CZ47+Januar!CZ47+Februar!CZ45+Marts!CZ47+April!CZ46+Maj!CZ47+Juni!CZ46+Juli!CZ47</f>
        <v>0</v>
      </c>
    </row>
    <row r="45" spans="1:48" ht="23" customHeight="1">
      <c r="A45" s="590" t="s">
        <v>352</v>
      </c>
      <c r="B45" s="591"/>
      <c r="C45" s="591"/>
      <c r="D45" s="591"/>
      <c r="E45" s="591"/>
      <c r="F45" s="591"/>
      <c r="G45" s="692">
        <f>August!CB52+September!CB46+Oktober!CB47+November!CB46+December!CB47+Januar!CB47+Februar!CB45+Marts!CB47+April!CB46+Maj!CB47+Juni!CB46+Juli!CB47</f>
        <v>0</v>
      </c>
      <c r="H45" s="585"/>
      <c r="I45" s="517" t="s">
        <v>352</v>
      </c>
      <c r="J45" s="589"/>
      <c r="K45" s="589"/>
      <c r="L45" s="589"/>
      <c r="M45" s="589"/>
      <c r="N45" s="589"/>
      <c r="O45" s="702">
        <f>August!CG52+September!CG46+Oktober!CG47+November!CG46+December!CG47+Januar!CG47+Februar!CG45+Marts!CG47+April!CG46+Maj!CG47+Juni!CG46+Juli!CG47</f>
        <v>0</v>
      </c>
      <c r="P45" s="585"/>
      <c r="Q45" s="521" t="s">
        <v>352</v>
      </c>
      <c r="R45" s="588"/>
      <c r="S45" s="588"/>
      <c r="T45" s="588"/>
      <c r="U45" s="588"/>
      <c r="V45" s="588"/>
      <c r="W45" s="703">
        <f>August!CL52+September!CL46+Oktober!CL47+November!CL46+December!CL47+Januar!CL47+Februar!CL45+Marts!CL47+April!CL46+Maj!CL47+Juni!CL46+Juli!CL47</f>
        <v>0</v>
      </c>
      <c r="X45" s="585"/>
      <c r="Y45" s="586" t="s">
        <v>352</v>
      </c>
      <c r="Z45" s="587"/>
      <c r="AA45" s="587"/>
      <c r="AB45" s="587"/>
      <c r="AC45" s="587"/>
      <c r="AD45" s="587"/>
      <c r="AE45" s="704">
        <f>August!CQ52+September!CQ46+Oktober!CQ47+November!CQ46+December!CQ47+Januar!CQ47+Februar!CQ45+Marts!CQ47+April!CQ46+Maj!CQ47+Juni!CQ46+Juli!CQ47</f>
        <v>0</v>
      </c>
      <c r="AF45" s="585"/>
      <c r="AG45" s="674" t="s">
        <v>352</v>
      </c>
      <c r="AH45" s="675"/>
      <c r="AI45" s="675"/>
      <c r="AJ45" s="675"/>
      <c r="AK45" s="675"/>
      <c r="AL45" s="675"/>
      <c r="AM45" s="705">
        <f>August!CV52+September!CV46+Oktober!CV47+November!CV46+December!CV47+Januar!CV47+Februar!CV45+Marts!CV47+April!CV46+Maj!CV47+Juni!CV46+Juli!CV47</f>
        <v>0</v>
      </c>
      <c r="AP45" s="679" t="s">
        <v>352</v>
      </c>
      <c r="AQ45" s="680"/>
      <c r="AR45" s="680"/>
      <c r="AS45" s="680"/>
      <c r="AT45" s="680"/>
      <c r="AU45" s="680"/>
      <c r="AV45" s="706">
        <f>August!DA52+September!DA46+Oktober!DA47+November!DA46+December!DA47+Januar!DA47+Februar!DA45+Marts!DA47+April!DA46+Maj!DA47+Juni!DA46+Juli!DA47</f>
        <v>0</v>
      </c>
    </row>
    <row r="46" spans="1:48" ht="23" customHeight="1">
      <c r="A46" s="590" t="s">
        <v>474</v>
      </c>
      <c r="B46" s="591"/>
      <c r="C46" s="591"/>
      <c r="D46" s="591"/>
      <c r="E46" s="591"/>
      <c r="F46" s="591"/>
      <c r="G46" s="692">
        <f>August!CC52+September!CC46+Oktober!CC47+November!CC46+December!CC47+Januar!CC47+Februar!CC45+Marts!CC47+April!CC46+Maj!CC47+Juni!CC46+Juli!CC47</f>
        <v>0</v>
      </c>
      <c r="H46" s="585"/>
      <c r="I46" s="517" t="str">
        <f>A46</f>
        <v>Onsdage</v>
      </c>
      <c r="J46" s="589"/>
      <c r="K46" s="589"/>
      <c r="L46" s="589"/>
      <c r="M46" s="589"/>
      <c r="N46" s="589"/>
      <c r="O46" s="702">
        <f>August!CH52+September!CH46+Oktober!CH47+November!CH46+December!CH47+Januar!CH47+Februar!CH45+Marts!CH47+April!CH46+Maj!CH47+Juni!CH46+Juli!CH47</f>
        <v>0</v>
      </c>
      <c r="P46" s="585"/>
      <c r="Q46" s="521" t="s">
        <v>474</v>
      </c>
      <c r="R46" s="588"/>
      <c r="S46" s="588"/>
      <c r="T46" s="588"/>
      <c r="U46" s="588"/>
      <c r="V46" s="588"/>
      <c r="W46" s="703">
        <f>August!CM52+September!CM46+Oktober!CM47+November!CM46+December!CM47+Januar!CM47+Februar!CM45+Marts!CM47+April!CM46+Maj!CM47+Juni!CM46+Juli!CM47</f>
        <v>0</v>
      </c>
      <c r="X46" s="585"/>
      <c r="Y46" s="586" t="str">
        <f>A46</f>
        <v>Onsdage</v>
      </c>
      <c r="Z46" s="587"/>
      <c r="AA46" s="587"/>
      <c r="AB46" s="587"/>
      <c r="AC46" s="587"/>
      <c r="AD46" s="587"/>
      <c r="AE46" s="704">
        <f>August!CR52+September!CR46+Oktober!CR47+November!CR46+December!CR47+Januar!CR47+Februar!CR45+Marts!CR47+April!CR46+Maj!CR47+Juni!CR46+Juli!CR47</f>
        <v>0</v>
      </c>
      <c r="AF46" s="585"/>
      <c r="AG46" s="674" t="str">
        <f>A46</f>
        <v>Onsdage</v>
      </c>
      <c r="AH46" s="675"/>
      <c r="AI46" s="675"/>
      <c r="AJ46" s="675"/>
      <c r="AK46" s="675"/>
      <c r="AL46" s="675"/>
      <c r="AM46" s="705">
        <f>August!CW52+September!CW46+Oktober!CW47+November!CW46+December!CW47+Januar!CW47+Februar!CW45+Marts!CW47+April!CW46+Maj!CW47+Juni!CW46+Juli!CW47</f>
        <v>0</v>
      </c>
      <c r="AP46" s="679" t="s">
        <v>353</v>
      </c>
      <c r="AQ46" s="680"/>
      <c r="AR46" s="680"/>
      <c r="AS46" s="680"/>
      <c r="AT46" s="680"/>
      <c r="AU46" s="680"/>
      <c r="AV46" s="706">
        <f>August!DB52+September!DB46+Oktober!DB47+November!DB46+December!DB47+Januar!DB47+Februar!DB45+Marts!DB47+April!DB46+Maj!DB47+Juni!DB46+Juli!DB47</f>
        <v>0</v>
      </c>
    </row>
    <row r="47" spans="1:48" ht="23" customHeight="1">
      <c r="A47" s="590" t="s">
        <v>354</v>
      </c>
      <c r="B47" s="591"/>
      <c r="C47" s="591"/>
      <c r="D47" s="591"/>
      <c r="E47" s="591"/>
      <c r="F47" s="591"/>
      <c r="G47" s="692">
        <f>August!CD52+September!CD46+Oktober!CD47+November!CD46+December!CD47+Januar!CD47+Februar!CD45+Marts!CD47+April!CD46+Maj!CD47+Juni!CD46+Juli!CD47</f>
        <v>0</v>
      </c>
      <c r="H47" s="585"/>
      <c r="I47" s="517" t="s">
        <v>354</v>
      </c>
      <c r="J47" s="589"/>
      <c r="K47" s="589"/>
      <c r="L47" s="589"/>
      <c r="M47" s="589"/>
      <c r="N47" s="589"/>
      <c r="O47" s="702">
        <f>August!CI52+September!CI46+Oktober!CI47+November!CI46+December!CI47+Januar!CI47+Februar!CI45+Marts!CI47+April!CI46+Maj!CI47+Juni!CI46+Juli!CI47</f>
        <v>0</v>
      </c>
      <c r="P47" s="585"/>
      <c r="Q47" s="521" t="s">
        <v>354</v>
      </c>
      <c r="R47" s="588"/>
      <c r="S47" s="588"/>
      <c r="T47" s="588"/>
      <c r="U47" s="588"/>
      <c r="V47" s="588"/>
      <c r="W47" s="703">
        <f>August!CN52+September!CN46+Oktober!CN47+November!CN46+December!CN47+Januar!CN47+Februar!CN45+Marts!CN47+April!CN46+Maj!CN47+Juni!CN46+Juli!CN47</f>
        <v>0</v>
      </c>
      <c r="X47" s="585"/>
      <c r="Y47" s="586" t="s">
        <v>354</v>
      </c>
      <c r="Z47" s="587"/>
      <c r="AA47" s="587"/>
      <c r="AB47" s="587"/>
      <c r="AC47" s="587"/>
      <c r="AD47" s="587"/>
      <c r="AE47" s="704">
        <f>August!CS52+September!CS46+Oktober!CS47+November!CS46+December!CS47+Januar!CS47+Februar!CS45+Marts!CS47+April!CS46+Maj!CS47+Juni!CS46+Juli!CS47</f>
        <v>0</v>
      </c>
      <c r="AF47" s="585"/>
      <c r="AG47" s="674" t="s">
        <v>354</v>
      </c>
      <c r="AH47" s="675"/>
      <c r="AI47" s="675"/>
      <c r="AJ47" s="675"/>
      <c r="AK47" s="675"/>
      <c r="AL47" s="675"/>
      <c r="AM47" s="705">
        <f>August!CX52+September!CX46+Oktober!CX47+November!CX46+December!CX47+Januar!CX47+Februar!CX45+Marts!CX47+April!CX46+Maj!CX47+Juni!CX46+Juli!CX47</f>
        <v>0</v>
      </c>
      <c r="AP47" s="679" t="s">
        <v>354</v>
      </c>
      <c r="AQ47" s="680"/>
      <c r="AR47" s="680"/>
      <c r="AS47" s="680"/>
      <c r="AT47" s="680"/>
      <c r="AU47" s="680"/>
      <c r="AV47" s="706">
        <f>August!DC52++September!DC46+Oktober!DC47+November!DC46+December!DC47+Januar!DC47+Februar!DC45+Marts!DC47+April!DC46+Maj!DC47+Juni!DC46+Juli!DC47</f>
        <v>0</v>
      </c>
    </row>
    <row r="48" spans="1:48" ht="23" customHeight="1">
      <c r="A48" s="590" t="s">
        <v>355</v>
      </c>
      <c r="B48" s="591"/>
      <c r="C48" s="591"/>
      <c r="D48" s="591"/>
      <c r="E48" s="591"/>
      <c r="F48" s="591"/>
      <c r="G48" s="692">
        <f>August!CE52+September!CE46+Oktober!CE47+November!CE46+December!CE47+Januar!CE47+Februar!CE45+Marts!CE47+April!CE46+Maj!CE47+Juni!CE46+Juli!CE47</f>
        <v>0</v>
      </c>
      <c r="H48" s="585"/>
      <c r="I48" s="517" t="s">
        <v>355</v>
      </c>
      <c r="J48" s="589"/>
      <c r="K48" s="589"/>
      <c r="L48" s="589"/>
      <c r="M48" s="589"/>
      <c r="N48" s="589"/>
      <c r="O48" s="702">
        <f>August!CJ52+September!CJ46+Oktober!CJ47+November!CJ46+December!CJ47+Januar!CJ47+Februar!CJ45+Marts!CJ47+April!CJ46+Maj!CJ47+Juni!CJ46+Juli!CJ47</f>
        <v>0</v>
      </c>
      <c r="P48" s="585"/>
      <c r="Q48" s="521" t="s">
        <v>355</v>
      </c>
      <c r="R48" s="588"/>
      <c r="S48" s="588"/>
      <c r="T48" s="588"/>
      <c r="U48" s="588"/>
      <c r="V48" s="588"/>
      <c r="W48" s="703">
        <f>August!CO52+September!CO46+Oktober!CO47+November!CO46+December!CO47+Januar!CO47+Februar!CO45+Marts!CO47+April!CO46+Maj!CO47+Juni!CO46+Juli!CO47</f>
        <v>0</v>
      </c>
      <c r="X48" s="585"/>
      <c r="Y48" s="586" t="s">
        <v>355</v>
      </c>
      <c r="Z48" s="587"/>
      <c r="AA48" s="587"/>
      <c r="AB48" s="587"/>
      <c r="AC48" s="587"/>
      <c r="AD48" s="587"/>
      <c r="AE48" s="704">
        <f>August!CT52+September!CT46+Oktober!CT47+November!CT46+December!CT47+Januar!CT47+Februar!CT45+Marts!CT47+April!CT46+Maj!CT47+Juni!CT46+Juli!CT47</f>
        <v>0</v>
      </c>
      <c r="AF48" s="585"/>
      <c r="AG48" s="674" t="s">
        <v>355</v>
      </c>
      <c r="AH48" s="675"/>
      <c r="AI48" s="675"/>
      <c r="AJ48" s="675"/>
      <c r="AK48" s="675"/>
      <c r="AL48" s="675"/>
      <c r="AM48" s="705">
        <f>August!CY52+September!CY46+Oktober!CY47+November!CY46+December!CY47+Januar!CY47+Februar!CY45+Marts!CY47+April!CY46+Maj!CY47+Juni!CY46+Juli!CY47</f>
        <v>0</v>
      </c>
      <c r="AP48" s="679" t="s">
        <v>355</v>
      </c>
      <c r="AQ48" s="680"/>
      <c r="AR48" s="680"/>
      <c r="AS48" s="680"/>
      <c r="AT48" s="680"/>
      <c r="AU48" s="680"/>
      <c r="AV48" s="706">
        <f>August!DD52+September!DD46+Oktober!DD47+November!DD46+December!DD47+Januar!DD47+Februar!DD45+Marts!DD47+April!DD46+Maj!DD47+Juni!DD46+Juli!DD47</f>
        <v>0</v>
      </c>
    </row>
    <row r="49" spans="1:32" ht="23" customHeight="1">
      <c r="A49" s="585"/>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row>
  </sheetData>
  <sheetProtection sheet="1" formatCells="0" formatColumns="0" formatRows="0" insertColumns="0"/>
  <mergeCells count="7">
    <mergeCell ref="AP43:AV43"/>
    <mergeCell ref="AU37:AV37"/>
    <mergeCell ref="A43:G43"/>
    <mergeCell ref="I43:O43"/>
    <mergeCell ref="Q43:W43"/>
    <mergeCell ref="Y43:AE43"/>
    <mergeCell ref="AG43:AM43"/>
  </mergeCells>
  <phoneticPr fontId="4" type="noConversion"/>
  <conditionalFormatting sqref="E3:F32 H3:H32">
    <cfRule type="expression" dxfId="814" priority="308">
      <formula>OR(#REF!="Orlov")</formula>
    </cfRule>
    <cfRule type="expression" dxfId="813" priority="349">
      <formula>OR(#REF!="Skema 2")</formula>
    </cfRule>
    <cfRule type="expression" dxfId="812" priority="350">
      <formula>OR(#REF!="Skema 3")</formula>
    </cfRule>
    <cfRule type="expression" dxfId="811" priority="485">
      <formula>OR(#REF!="weekend")</formula>
    </cfRule>
    <cfRule type="expression" dxfId="810" priority="484">
      <formula>OR(#REF!="feriedag")</formula>
    </cfRule>
    <cfRule type="expression" dxfId="809" priority="483">
      <formula>OR(#REF!="fagdag")</formula>
    </cfRule>
    <cfRule type="expression" dxfId="808" priority="482">
      <formula>OR(#REF!="emnedag")</formula>
    </cfRule>
    <cfRule type="expression" dxfId="807" priority="481">
      <formula>OR(#REF!="lejrskole")</formula>
    </cfRule>
    <cfRule type="expression" dxfId="806" priority="480">
      <formula>OR(#REF!="ekskursion")</formula>
    </cfRule>
    <cfRule type="expression" dxfId="805" priority="479">
      <formula>OR(#REF!="Nul-dag")</formula>
    </cfRule>
    <cfRule type="expression" dxfId="804" priority="478">
      <formula>OR(#REF!="SH-dag")</formula>
    </cfRule>
    <cfRule type="expression" dxfId="803" priority="477">
      <formula>OR(#REF!="pæd.dag")</formula>
    </cfRule>
    <cfRule type="expression" dxfId="802" priority="476">
      <formula>OR(#REF!="Skema 4")</formula>
    </cfRule>
    <cfRule type="expression" dxfId="801" priority="364">
      <formula>OR(#REF!="Ikke relevant")</formula>
    </cfRule>
    <cfRule type="expression" dxfId="800" priority="348">
      <formula>OR(#REF!="Skema 1")</formula>
    </cfRule>
  </conditionalFormatting>
  <printOptions horizontalCentered="1" verticalCentered="1"/>
  <pageMargins left="0.19685039370078741" right="0.19685039370078741" top="0.39370078740157483" bottom="0.39370078740157483" header="0" footer="0"/>
  <pageSetup paperSize="9" scale="5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352" id="{256222D4-8801-FD4F-9264-2C914F58C83F}">
            <xm:f>OR(August!$C20="Normal uge 2")</xm:f>
            <x14:dxf>
              <font>
                <color theme="1"/>
              </font>
              <fill>
                <patternFill patternType="solid">
                  <bgColor theme="4" tint="0.59996337778862885"/>
                </patternFill>
              </fill>
            </x14:dxf>
          </x14:cfRule>
          <x14:cfRule type="expression" priority="495" id="{9C74EDFC-6C3D-4748-BD87-F32A20D4629E}">
            <xm:f>OR(August!$C20="feriedag")</xm:f>
            <x14:dxf>
              <font>
                <color theme="1"/>
              </font>
              <fill>
                <patternFill>
                  <bgColor theme="6" tint="0.39994506668294322"/>
                </patternFill>
              </fill>
            </x14:dxf>
          </x14:cfRule>
          <x14:cfRule type="expression" priority="494" id="{058D7F2D-609A-1448-A8C4-F8D1C6547438}">
            <xm:f>OR(August!$C20="ferieåbning")</xm:f>
            <x14:dxf>
              <font>
                <color theme="1"/>
              </font>
              <fill>
                <patternFill>
                  <bgColor theme="9" tint="0.59996337778862885"/>
                </patternFill>
              </fill>
            </x14:dxf>
          </x14:cfRule>
          <x14:cfRule type="expression" priority="493" id="{36471A8C-38C8-864D-80A0-417376D2D0CB}">
            <xm:f>OR(August!$C20="Anderledes dag")</xm:f>
            <x14:dxf>
              <font>
                <color theme="1"/>
              </font>
              <fill>
                <patternFill>
                  <bgColor theme="5" tint="0.59996337778862885"/>
                </patternFill>
              </fill>
            </x14:dxf>
          </x14:cfRule>
          <x14:cfRule type="expression" priority="492" id="{FED3E8BE-7925-F74E-9860-2990D79E0BAC}">
            <xm:f>OR(August!$C20="Koloni")</xm:f>
            <x14:dxf>
              <font>
                <color theme="1"/>
              </font>
              <fill>
                <patternFill>
                  <bgColor theme="8" tint="0.59996337778862885"/>
                </patternFill>
              </fill>
            </x14:dxf>
          </x14:cfRule>
          <x14:cfRule type="expression" priority="491" id="{F64A6795-1CA1-934D-9945-114DD9BD0BC6}">
            <xm:f>OR(August!$C20="ekskursion")</xm:f>
            <x14:dxf>
              <font>
                <color theme="1"/>
              </font>
              <fill>
                <patternFill>
                  <bgColor rgb="FFFFFF00"/>
                </patternFill>
              </fill>
            </x14:dxf>
          </x14:cfRule>
          <x14:cfRule type="expression" priority="490" id="{78B80DDE-7CA5-2D41-8B78-5F17E19A9795}">
            <xm:f>OR(August!$C20="Nul-dag")</xm:f>
            <x14:dxf>
              <font>
                <color theme="1"/>
              </font>
              <fill>
                <patternFill>
                  <bgColor theme="5" tint="0.79998168889431442"/>
                </patternFill>
              </fill>
            </x14:dxf>
          </x14:cfRule>
          <x14:cfRule type="expression" priority="488" id="{3282FFA5-E7FF-C44E-BDD5-E3260CA910FA}">
            <xm:f>OR(August!$C20="SH-dag")</xm:f>
            <x14:dxf>
              <font>
                <color theme="1"/>
              </font>
              <fill>
                <patternFill>
                  <bgColor rgb="FFFF2F82"/>
                </patternFill>
              </fill>
            </x14:dxf>
          </x14:cfRule>
          <x14:cfRule type="expression" priority="487" id="{74F1BFCC-B98D-8E4D-A11A-CDA31D415826}">
            <xm:f>OR(August!$C20="pæd.dag")</xm:f>
            <x14:dxf>
              <font>
                <color theme="1"/>
              </font>
              <fill>
                <patternFill>
                  <bgColor theme="7" tint="0.39994506668294322"/>
                </patternFill>
              </fill>
            </x14:dxf>
          </x14:cfRule>
          <x14:cfRule type="expression" priority="486" id="{077259EC-C35A-AF4C-81A6-6D49EBF5F89B}">
            <xm:f>OR(August!$C20="Normal uge 4")</xm:f>
            <x14:dxf>
              <font>
                <color theme="0"/>
              </font>
              <fill>
                <patternFill patternType="solid">
                  <bgColor theme="4" tint="-0.24994659260841701"/>
                </patternFill>
              </fill>
            </x14:dxf>
          </x14:cfRule>
          <x14:cfRule type="expression" priority="496" id="{EAC82C95-1DEB-E64D-81BF-C87ED2E9AF0F}">
            <xm:f>OR(August!$C20="weekend")</xm:f>
            <x14:dxf>
              <font>
                <color theme="1"/>
              </font>
              <fill>
                <patternFill>
                  <bgColor theme="0" tint="-0.14996795556505021"/>
                </patternFill>
              </fill>
            </x14:dxf>
          </x14:cfRule>
          <x14:cfRule type="expression" priority="292" id="{0A0DD49D-91BA-D54A-8EC4-B1352C7D8D3B}">
            <xm:f>OR(August!$C20="Rul 1")</xm:f>
            <x14:dxf>
              <font>
                <color theme="1"/>
              </font>
              <fill>
                <patternFill patternType="solid">
                  <bgColor theme="2"/>
                </patternFill>
              </fill>
            </x14:dxf>
          </x14:cfRule>
          <x14:cfRule type="expression" priority="293" id="{2A89909D-5D27-344A-AA40-FA38C046517D}">
            <xm:f>OR(August!$C20="Rul 2")</xm:f>
            <x14:dxf>
              <font>
                <color theme="1"/>
              </font>
              <fill>
                <patternFill patternType="solid">
                  <bgColor theme="2" tint="-9.9948118533890809E-2"/>
                </patternFill>
              </fill>
            </x14:dxf>
          </x14:cfRule>
          <x14:cfRule type="expression" priority="294" id="{A316BD4A-31BB-664C-B841-DACDB2E1D7A7}">
            <xm:f>OR(August!$C20="Rul 3")</xm:f>
            <x14:dxf>
              <font>
                <color theme="1"/>
              </font>
              <fill>
                <patternFill patternType="solid">
                  <bgColor theme="2" tint="-0.24994659260841701"/>
                </patternFill>
              </fill>
            </x14:dxf>
          </x14:cfRule>
          <x14:cfRule type="expression" priority="295" id="{4946EC3D-4D82-4A49-9A72-883F244F0BDB}">
            <xm:f>OR(August!$C20="Rul 4")</xm:f>
            <x14:dxf>
              <font>
                <color theme="1"/>
              </font>
              <fill>
                <patternFill patternType="solid">
                  <bgColor theme="2" tint="-0.499984740745262"/>
                </patternFill>
              </fill>
            </x14:dxf>
          </x14:cfRule>
          <x14:cfRule type="expression" priority="296" id="{0CB67E41-238F-C444-8653-414AAD7BDB93}">
            <xm:f>OR(August!$C20="Rul 5")</xm:f>
            <x14:dxf>
              <font>
                <color theme="0"/>
              </font>
              <fill>
                <patternFill patternType="solid">
                  <bgColor theme="2" tint="-0.749961851863155"/>
                </patternFill>
              </fill>
            </x14:dxf>
          </x14:cfRule>
          <x14:cfRule type="expression" priority="297" id="{10F827DB-1AA4-4449-84D0-D62C048A02F3}">
            <xm:f>OR(August!$C20="Rul 6")</xm:f>
            <x14:dxf>
              <font>
                <color theme="0"/>
              </font>
              <fill>
                <patternFill patternType="solid">
                  <bgColor theme="2" tint="-0.89996032593768116"/>
                </patternFill>
              </fill>
            </x14:dxf>
          </x14:cfRule>
          <x14:cfRule type="expression" priority="309" id="{FAF1E807-6E02-3A42-B546-AE75E1CBB7D4}">
            <xm:f>OR(August!$C20="Orlov")</xm:f>
            <x14:dxf>
              <font>
                <color theme="0"/>
              </font>
              <fill>
                <patternFill patternType="solid">
                  <bgColor theme="6" tint="-0.24994659260841701"/>
                </patternFill>
              </fill>
            </x14:dxf>
          </x14:cfRule>
          <x14:cfRule type="expression" priority="351" id="{E3AA92ED-C77F-0548-A9C9-760193646B5C}">
            <xm:f>OR(August!$C20="Normal uge 1")</xm:f>
            <x14:dxf>
              <font>
                <color theme="1"/>
              </font>
              <fill>
                <patternFill patternType="solid">
                  <bgColor theme="4" tint="0.79998168889431442"/>
                </patternFill>
              </fill>
            </x14:dxf>
          </x14:cfRule>
          <x14:cfRule type="expression" priority="23" stopIfTrue="1" id="{046CE400-C48A-B242-9BCB-FEE0A5D77BF1}">
            <xm:f>OR(August!$C20="Normal uge 6")</xm:f>
            <x14:dxf>
              <font>
                <color theme="0"/>
              </font>
              <fill>
                <patternFill patternType="solid">
                  <bgColor theme="9" tint="-0.499984740745262"/>
                </patternFill>
              </fill>
            </x14:dxf>
          </x14:cfRule>
          <x14:cfRule type="expression" priority="24" id="{3980B379-D7F1-0D44-822F-4087F7340C4F}">
            <xm:f>OR(August!$C20="Normal uge 5")</xm:f>
            <x14:dxf>
              <font>
                <color theme="0"/>
              </font>
              <fill>
                <patternFill patternType="solid">
                  <bgColor theme="9" tint="-0.24994659260841701"/>
                </patternFill>
              </fill>
            </x14:dxf>
          </x14:cfRule>
          <x14:cfRule type="expression" priority="365" id="{D54F4020-584C-4F4A-A11D-2CCC77621B47}">
            <xm:f>OR(August!$C20="Ikke relevant")</xm:f>
            <x14:dxf>
              <font>
                <color theme="0"/>
              </font>
              <fill>
                <patternFill>
                  <bgColor theme="1"/>
                </patternFill>
              </fill>
            </x14:dxf>
          </x14:cfRule>
          <x14:cfRule type="expression" priority="353" id="{49ECD701-DA1A-4C49-9E77-F7C0B5FBFA03}">
            <xm:f>OR(August!$C20="Normal uge 3")</xm:f>
            <x14:dxf>
              <font>
                <color theme="0"/>
              </font>
              <fill>
                <patternFill patternType="solid">
                  <bgColor theme="4" tint="0.39994506668294322"/>
                </patternFill>
              </fill>
            </x14:dxf>
          </x14:cfRule>
          <xm:sqref>A3:D33</xm:sqref>
        </x14:conditionalFormatting>
        <x14:conditionalFormatting xmlns:xm="http://schemas.microsoft.com/office/excel/2006/main">
          <x14:cfRule type="expression" priority="273" id="{C00B4DD1-999A-B847-A517-6028DDFA6389}">
            <xm:f>OR(September!$C15="Rul 3")</xm:f>
            <x14:dxf>
              <font>
                <color theme="1"/>
              </font>
              <fill>
                <patternFill patternType="solid">
                  <bgColor theme="2" tint="-0.24994659260841701"/>
                </patternFill>
              </fill>
            </x14:dxf>
          </x14:cfRule>
          <x14:cfRule type="expression" priority="280" id="{79260291-2186-FA43-9A46-5CEB46A99D28}">
            <xm:f>OR(September!$C15="Normal uge 3")</xm:f>
            <x14:dxf>
              <font>
                <color theme="0"/>
              </font>
              <fill>
                <patternFill patternType="solid">
                  <bgColor theme="4" tint="0.39994506668294322"/>
                </patternFill>
              </fill>
            </x14:dxf>
          </x14:cfRule>
          <x14:cfRule type="expression" priority="21" id="{4B448821-BF57-1841-AB27-116EF5CE0FD5}">
            <xm:f>OR(September!$C15="Normal uge 6")</xm:f>
            <x14:dxf>
              <font>
                <color theme="0"/>
              </font>
              <fill>
                <patternFill patternType="solid">
                  <bgColor theme="9" tint="-0.499984740745262"/>
                </patternFill>
              </fill>
            </x14:dxf>
          </x14:cfRule>
          <x14:cfRule type="expression" priority="22" stopIfTrue="1" id="{C5FFF770-C2E9-6647-8738-DF97A9318042}">
            <xm:f>OR(September!$C15="Normal uge 5")</xm:f>
            <x14:dxf>
              <font>
                <color theme="0"/>
              </font>
              <fill>
                <patternFill patternType="solid">
                  <bgColor theme="9" tint="-0.24994659260841701"/>
                </patternFill>
              </fill>
            </x14:dxf>
          </x14:cfRule>
          <x14:cfRule type="expression" priority="271" id="{8A2484B0-4DA5-9244-A2EC-DAB1DA128062}">
            <xm:f>OR(September!$C15="Rul 1")</xm:f>
            <x14:dxf>
              <font>
                <color theme="1"/>
              </font>
              <fill>
                <patternFill patternType="solid">
                  <bgColor theme="2"/>
                </patternFill>
              </fill>
            </x14:dxf>
          </x14:cfRule>
          <x14:cfRule type="expression" priority="272" id="{4A862551-9F5F-4045-9B5D-E0CE79A209EB}">
            <xm:f>OR(September!$C15="Rul 2")</xm:f>
            <x14:dxf>
              <font>
                <color theme="1"/>
              </font>
              <fill>
                <patternFill patternType="solid">
                  <bgColor theme="2" tint="-9.9948118533890809E-2"/>
                </patternFill>
              </fill>
            </x14:dxf>
          </x14:cfRule>
          <x14:cfRule type="expression" priority="274" id="{13B84EC2-5B88-AE42-99AE-2A22BCBF86CE}">
            <xm:f>OR(September!$C15="Rul 4")</xm:f>
            <x14:dxf>
              <font>
                <color theme="1"/>
              </font>
              <fill>
                <patternFill patternType="solid">
                  <bgColor theme="2" tint="-0.499984740745262"/>
                </patternFill>
              </fill>
            </x14:dxf>
          </x14:cfRule>
          <x14:cfRule type="expression" priority="275" id="{B8ED9378-49CD-2845-AF79-8AF1FAC07A67}">
            <xm:f>OR(September!$C15="Rul 5")</xm:f>
            <x14:dxf>
              <font>
                <color theme="0"/>
              </font>
              <fill>
                <patternFill patternType="solid">
                  <bgColor theme="2" tint="-0.749961851863155"/>
                </patternFill>
              </fill>
            </x14:dxf>
          </x14:cfRule>
          <x14:cfRule type="expression" priority="276" id="{DD73693E-4180-2643-95C1-FCF8FD7B066B}">
            <xm:f>OR(September!$C15="Rul 6")</xm:f>
            <x14:dxf>
              <font>
                <color theme="0"/>
              </font>
              <fill>
                <patternFill patternType="solid">
                  <bgColor theme="2" tint="-0.89996032593768116"/>
                </patternFill>
              </fill>
            </x14:dxf>
          </x14:cfRule>
          <x14:cfRule type="expression" priority="277" id="{B4A999E0-D158-5944-89FA-34D0F6AF27C8}">
            <xm:f>OR(September!$C15="Orlov")</xm:f>
            <x14:dxf>
              <font>
                <color theme="0"/>
              </font>
              <fill>
                <patternFill patternType="solid">
                  <bgColor theme="6" tint="-0.24994659260841701"/>
                </patternFill>
              </fill>
            </x14:dxf>
          </x14:cfRule>
          <x14:cfRule type="expression" priority="278" id="{15674ACC-8E81-024F-A7AE-9C183B78EECD}">
            <xm:f>OR(September!$C15="Normal uge 1")</xm:f>
            <x14:dxf>
              <font>
                <color theme="1"/>
              </font>
              <fill>
                <patternFill patternType="solid">
                  <bgColor theme="4" tint="0.79998168889431442"/>
                </patternFill>
              </fill>
            </x14:dxf>
          </x14:cfRule>
          <x14:cfRule type="expression" priority="279" id="{8434F6D0-079A-854C-874D-35F175DF3B87}">
            <xm:f>OR(September!$C15="Normal uge 2")</xm:f>
            <x14:dxf>
              <font>
                <color theme="1"/>
              </font>
              <fill>
                <patternFill patternType="solid">
                  <bgColor theme="4" tint="0.59996337778862885"/>
                </patternFill>
              </fill>
            </x14:dxf>
          </x14:cfRule>
          <x14:cfRule type="expression" priority="291" id="{EF42F37A-B3C4-924C-92B1-0457D19BC985}">
            <xm:f>OR(September!$C15="weekend")</xm:f>
            <x14:dxf>
              <font>
                <color theme="1"/>
              </font>
              <fill>
                <patternFill>
                  <bgColor theme="0" tint="-0.14996795556505021"/>
                </patternFill>
              </fill>
            </x14:dxf>
          </x14:cfRule>
          <x14:cfRule type="expression" priority="290" id="{1EB32EA6-A8D2-3E49-8AE8-08DDD89D2994}">
            <xm:f>OR(September!$C15="feriedag")</xm:f>
            <x14:dxf>
              <font>
                <color theme="1"/>
              </font>
              <fill>
                <patternFill>
                  <bgColor theme="6" tint="0.39994506668294322"/>
                </patternFill>
              </fill>
            </x14:dxf>
          </x14:cfRule>
          <x14:cfRule type="expression" priority="289" id="{9E94CC50-34F8-AC4C-BC31-104894A13174}">
            <xm:f>OR(September!$C15="ferieåbning")</xm:f>
            <x14:dxf>
              <font>
                <color theme="1"/>
              </font>
              <fill>
                <patternFill>
                  <bgColor theme="9" tint="0.59996337778862885"/>
                </patternFill>
              </fill>
            </x14:dxf>
          </x14:cfRule>
          <x14:cfRule type="expression" priority="288" id="{DEA17BAE-3911-5647-B075-EA681C7A65ED}">
            <xm:f>OR(September!$C15="Anderledes dag")</xm:f>
            <x14:dxf>
              <font>
                <color theme="1"/>
              </font>
              <fill>
                <patternFill>
                  <bgColor theme="5" tint="0.59996337778862885"/>
                </patternFill>
              </fill>
            </x14:dxf>
          </x14:cfRule>
          <x14:cfRule type="expression" priority="287" id="{7FA3219C-1AE2-B349-86AD-257DCB323C2B}">
            <xm:f>OR(September!$C15="Koloni")</xm:f>
            <x14:dxf>
              <font>
                <color theme="1"/>
              </font>
              <fill>
                <patternFill>
                  <bgColor theme="8" tint="0.59996337778862885"/>
                </patternFill>
              </fill>
            </x14:dxf>
          </x14:cfRule>
          <x14:cfRule type="expression" priority="286" id="{4286A347-6D76-644B-BC25-821E05F97E9A}">
            <xm:f>OR(September!$C15="ekskursion")</xm:f>
            <x14:dxf>
              <font>
                <color theme="1"/>
              </font>
              <fill>
                <patternFill>
                  <bgColor rgb="FFFFFF00"/>
                </patternFill>
              </fill>
            </x14:dxf>
          </x14:cfRule>
          <x14:cfRule type="expression" priority="285" id="{4F2316AD-DFF2-6143-828D-FD5AD05C3B26}">
            <xm:f>OR(September!$C15="Nul-dag")</xm:f>
            <x14:dxf>
              <font>
                <color theme="1"/>
              </font>
              <fill>
                <patternFill>
                  <bgColor theme="5" tint="0.79998168889431442"/>
                </patternFill>
              </fill>
            </x14:dxf>
          </x14:cfRule>
          <x14:cfRule type="expression" priority="284" id="{73B84094-791A-B54F-8167-EFD84B790030}">
            <xm:f>OR(September!$C15="SH-dag")</xm:f>
            <x14:dxf>
              <font>
                <color theme="1"/>
              </font>
              <fill>
                <patternFill>
                  <bgColor rgb="FFFF2F82"/>
                </patternFill>
              </fill>
            </x14:dxf>
          </x14:cfRule>
          <x14:cfRule type="expression" priority="283" id="{15774085-CEF8-9C48-A09E-EE89A4941D2B}">
            <xm:f>OR(September!$C15="pæd.dag")</xm:f>
            <x14:dxf>
              <font>
                <color theme="1"/>
              </font>
              <fill>
                <patternFill>
                  <bgColor theme="7" tint="0.39994506668294322"/>
                </patternFill>
              </fill>
            </x14:dxf>
          </x14:cfRule>
          <x14:cfRule type="expression" priority="282" id="{58E6BD7F-6D21-8042-A854-547A33DFA76A}">
            <xm:f>OR(September!$C15="Normal uge 4")</xm:f>
            <x14:dxf>
              <font>
                <color theme="0"/>
              </font>
              <fill>
                <patternFill patternType="solid">
                  <bgColor theme="4" tint="-0.24994659260841701"/>
                </patternFill>
              </fill>
            </x14:dxf>
          </x14:cfRule>
          <x14:cfRule type="expression" priority="281" id="{A85BF887-49C8-2743-B6D0-1A153F92401F}">
            <xm:f>OR(September!$C15="Ikke relevant")</xm:f>
            <x14:dxf>
              <font>
                <color theme="0"/>
              </font>
              <fill>
                <patternFill>
                  <bgColor theme="1"/>
                </patternFill>
              </fill>
            </x14:dxf>
          </x14:cfRule>
          <xm:sqref>E3:H32</xm:sqref>
        </x14:conditionalFormatting>
        <x14:conditionalFormatting xmlns:xm="http://schemas.microsoft.com/office/excel/2006/main">
          <x14:cfRule type="expression" priority="240" id="{9D79DD9E-CC64-974C-BF6B-AD1C747588E8}">
            <xm:f>OR(Oktober!$C15="Rul 6")</xm:f>
            <x14:dxf>
              <font>
                <color theme="0"/>
              </font>
              <fill>
                <patternFill patternType="solid">
                  <bgColor theme="2" tint="-0.89996032593768116"/>
                </patternFill>
              </fill>
            </x14:dxf>
          </x14:cfRule>
          <x14:cfRule type="expression" priority="235" id="{B613CC25-8256-1F48-9B49-F0BFAF907C18}">
            <xm:f>OR(Oktober!$C15="Rul 1")</xm:f>
            <x14:dxf>
              <font>
                <color theme="1"/>
              </font>
              <fill>
                <patternFill patternType="solid">
                  <bgColor theme="2"/>
                </patternFill>
              </fill>
            </x14:dxf>
          </x14:cfRule>
          <x14:cfRule type="expression" priority="241" id="{25A9C0C4-3E5B-6745-9160-3A6BFC27F162}">
            <xm:f>OR(Oktober!$C15="Orlov")</xm:f>
            <x14:dxf>
              <font>
                <color theme="0"/>
              </font>
              <fill>
                <patternFill patternType="solid">
                  <bgColor theme="6" tint="-0.24994659260841701"/>
                </patternFill>
              </fill>
            </x14:dxf>
          </x14:cfRule>
          <x14:cfRule type="expression" priority="242" id="{28935E1D-DB3C-2549-9954-382B0C91BE73}">
            <xm:f>OR(Oktober!$C15="Normal uge 1")</xm:f>
            <x14:dxf>
              <font>
                <color theme="1"/>
              </font>
              <fill>
                <patternFill patternType="solid">
                  <bgColor theme="4" tint="0.79998168889431442"/>
                </patternFill>
              </fill>
            </x14:dxf>
          </x14:cfRule>
          <x14:cfRule type="expression" priority="243" id="{D546A531-58E6-1247-BF98-65CD83283FAD}">
            <xm:f>OR(Oktober!$C15="Normal uge 2")</xm:f>
            <x14:dxf>
              <font>
                <color theme="1"/>
              </font>
              <fill>
                <patternFill patternType="solid">
                  <bgColor theme="4" tint="0.59996337778862885"/>
                </patternFill>
              </fill>
            </x14:dxf>
          </x14:cfRule>
          <x14:cfRule type="expression" priority="244" id="{A5C9DA0C-00F7-FD4A-B477-B82B3E354DD5}">
            <xm:f>OR(Oktober!$C15="Normal uge 3")</xm:f>
            <x14:dxf>
              <font>
                <color theme="0"/>
              </font>
              <fill>
                <patternFill patternType="solid">
                  <bgColor theme="4" tint="0.39994506668294322"/>
                </patternFill>
              </fill>
            </x14:dxf>
          </x14:cfRule>
          <x14:cfRule type="expression" priority="245" id="{1C868962-6A58-AD4E-B740-FAE28608F293}">
            <xm:f>OR(Oktober!$C15="Ikke relevant")</xm:f>
            <x14:dxf>
              <font>
                <color theme="0"/>
              </font>
              <fill>
                <patternFill>
                  <bgColor theme="1"/>
                </patternFill>
              </fill>
            </x14:dxf>
          </x14:cfRule>
          <x14:cfRule type="expression" priority="246" id="{E9F9ABCF-78BE-F34B-8B68-3DEF4148F5A4}">
            <xm:f>OR(Oktober!$C15="Normal uge 4")</xm:f>
            <x14:dxf>
              <font>
                <color theme="0"/>
              </font>
              <fill>
                <patternFill patternType="solid">
                  <bgColor theme="4" tint="-0.24994659260841701"/>
                </patternFill>
              </fill>
            </x14:dxf>
          </x14:cfRule>
          <x14:cfRule type="expression" priority="247" id="{85BE0E36-19B1-6B4F-AFF2-1CC5D91BD912}">
            <xm:f>OR(Oktober!$C15="pæd.dag")</xm:f>
            <x14:dxf>
              <font>
                <color theme="1"/>
              </font>
              <fill>
                <patternFill>
                  <bgColor theme="7" tint="0.39994506668294322"/>
                </patternFill>
              </fill>
            </x14:dxf>
          </x14:cfRule>
          <x14:cfRule type="expression" priority="248" id="{73C380C3-174C-7144-BF1E-7418EC5453F3}">
            <xm:f>OR(Oktober!$C15="SH-dag")</xm:f>
            <x14:dxf>
              <font>
                <color theme="1"/>
              </font>
              <fill>
                <patternFill>
                  <bgColor rgb="FFFF2F82"/>
                </patternFill>
              </fill>
            </x14:dxf>
          </x14:cfRule>
          <x14:cfRule type="expression" priority="249" id="{22CF24CD-49D6-3D4D-B49D-B39D1F9A75D8}">
            <xm:f>OR(Oktober!$C15="Nul-dag")</xm:f>
            <x14:dxf>
              <font>
                <color theme="1"/>
              </font>
              <fill>
                <patternFill>
                  <bgColor theme="5" tint="0.79998168889431442"/>
                </patternFill>
              </fill>
            </x14:dxf>
          </x14:cfRule>
          <x14:cfRule type="expression" priority="250" id="{8FC37DBC-91A7-5845-9295-2AA4EF46056F}">
            <xm:f>OR(Oktober!$C15="ekskursion")</xm:f>
            <x14:dxf>
              <font>
                <color theme="1"/>
              </font>
              <fill>
                <patternFill>
                  <bgColor rgb="FFFFFF00"/>
                </patternFill>
              </fill>
            </x14:dxf>
          </x14:cfRule>
          <x14:cfRule type="expression" priority="251" id="{DD02BA74-6569-9A48-997E-CF5FAAF32A61}">
            <xm:f>OR(Oktober!$C15="Koloni")</xm:f>
            <x14:dxf>
              <font>
                <color theme="1"/>
              </font>
              <fill>
                <patternFill>
                  <bgColor theme="8" tint="0.59996337778862885"/>
                </patternFill>
              </fill>
            </x14:dxf>
          </x14:cfRule>
          <x14:cfRule type="expression" priority="252" id="{5817B673-F8F8-F941-9E0A-5D84C7FBF347}">
            <xm:f>OR(Oktober!$C15="Anderledes dag")</xm:f>
            <x14:dxf>
              <font>
                <color theme="1"/>
              </font>
              <fill>
                <patternFill>
                  <bgColor theme="5" tint="0.59996337778862885"/>
                </patternFill>
              </fill>
            </x14:dxf>
          </x14:cfRule>
          <x14:cfRule type="expression" priority="253" id="{9496B15E-2164-C14C-9EDD-556A7E73CCCD}">
            <xm:f>OR(Oktober!$C15="ferieåbning")</xm:f>
            <x14:dxf>
              <font>
                <color theme="1"/>
              </font>
              <fill>
                <patternFill>
                  <bgColor theme="9" tint="0.59996337778862885"/>
                </patternFill>
              </fill>
            </x14:dxf>
          </x14:cfRule>
          <x14:cfRule type="expression" priority="254" id="{87AB2218-DAC6-1842-806A-66EBB92A3BDA}">
            <xm:f>OR(Oktober!$C15="feriedag")</xm:f>
            <x14:dxf>
              <font>
                <color theme="1"/>
              </font>
              <fill>
                <patternFill>
                  <bgColor theme="6" tint="0.39994506668294322"/>
                </patternFill>
              </fill>
            </x14:dxf>
          </x14:cfRule>
          <x14:cfRule type="expression" priority="255" id="{B6647FFC-397E-5442-8E4B-8C1AD3CCED4C}">
            <xm:f>OR(Oktober!$C15="weekend")</xm:f>
            <x14:dxf>
              <font>
                <color theme="1"/>
              </font>
              <fill>
                <patternFill>
                  <bgColor theme="0" tint="-0.14996795556505021"/>
                </patternFill>
              </fill>
            </x14:dxf>
          </x14:cfRule>
          <x14:cfRule type="expression" priority="19" id="{4775C170-FCA1-FB4B-B325-56B4EC5DDF72}">
            <xm:f>OR(Oktober!$C15="Normal uge 6")</xm:f>
            <x14:dxf>
              <font>
                <color theme="0"/>
              </font>
              <fill>
                <patternFill patternType="solid">
                  <bgColor theme="9" tint="-0.499984740745262"/>
                </patternFill>
              </fill>
            </x14:dxf>
          </x14:cfRule>
          <x14:cfRule type="expression" priority="239" id="{13C14DF9-2A20-2D4B-8619-2304B2F694FF}">
            <xm:f>OR(Oktober!$C15="Rul 5")</xm:f>
            <x14:dxf>
              <font>
                <color theme="0"/>
              </font>
              <fill>
                <patternFill patternType="solid">
                  <bgColor theme="2" tint="-0.749961851863155"/>
                </patternFill>
              </fill>
            </x14:dxf>
          </x14:cfRule>
          <x14:cfRule type="expression" priority="238" id="{C945DE71-0151-1C45-AEC1-8CE44323FAC4}">
            <xm:f>OR(Oktober!$C15="Rul 4")</xm:f>
            <x14:dxf>
              <font>
                <color theme="1"/>
              </font>
              <fill>
                <patternFill patternType="solid">
                  <bgColor theme="2" tint="-0.499984740745262"/>
                </patternFill>
              </fill>
            </x14:dxf>
          </x14:cfRule>
          <x14:cfRule type="expression" priority="237" id="{4F544D67-F596-EC49-A612-ED191DDF6374}">
            <xm:f>OR(Oktober!$C15="Rul 3")</xm:f>
            <x14:dxf>
              <font>
                <color theme="1"/>
              </font>
              <fill>
                <patternFill patternType="solid">
                  <bgColor theme="2" tint="-0.24994659260841701"/>
                </patternFill>
              </fill>
            </x14:dxf>
          </x14:cfRule>
          <x14:cfRule type="expression" priority="236" id="{B1BC1F36-DAB1-5C44-A880-A318F67E2DF0}">
            <xm:f>OR(Oktober!$C15="Rul 2")</xm:f>
            <x14:dxf>
              <font>
                <color theme="1"/>
              </font>
              <fill>
                <patternFill patternType="solid">
                  <bgColor theme="2" tint="-9.9948118533890809E-2"/>
                </patternFill>
              </fill>
            </x14:dxf>
          </x14:cfRule>
          <x14:cfRule type="expression" priority="20" stopIfTrue="1" id="{A75F1A01-62A8-9347-93F5-992A95B75412}">
            <xm:f>OR(Oktober!$C15="Normal uge 5")</xm:f>
            <x14:dxf>
              <font>
                <color theme="0"/>
              </font>
              <fill>
                <patternFill patternType="solid">
                  <bgColor theme="9" tint="-0.24994659260841701"/>
                </patternFill>
              </fill>
            </x14:dxf>
          </x14:cfRule>
          <xm:sqref>I3:L33</xm:sqref>
        </x14:conditionalFormatting>
        <x14:conditionalFormatting xmlns:xm="http://schemas.microsoft.com/office/excel/2006/main">
          <x14:cfRule type="expression" priority="213" id="{6F09A75D-BA54-0146-8A85-A41265D4F27C}">
            <xm:f>OR(November!$C15="weekend")</xm:f>
            <x14:dxf>
              <font>
                <color theme="1"/>
              </font>
              <fill>
                <patternFill>
                  <bgColor theme="0" tint="-0.14996795556505021"/>
                </patternFill>
              </fill>
            </x14:dxf>
          </x14:cfRule>
          <x14:cfRule type="expression" priority="212" id="{E0D426A0-2FE3-AD46-9DC5-D86268346F64}">
            <xm:f>OR(November!$C15="feriedag")</xm:f>
            <x14:dxf>
              <font>
                <color theme="1"/>
              </font>
              <fill>
                <patternFill>
                  <bgColor theme="6" tint="0.39994506668294322"/>
                </patternFill>
              </fill>
            </x14:dxf>
          </x14:cfRule>
          <x14:cfRule type="expression" priority="211" id="{7C44E801-C97E-144D-851E-A932B37C4B7C}">
            <xm:f>OR(November!$C15="ferieåbning")</xm:f>
            <x14:dxf>
              <font>
                <color theme="1"/>
              </font>
              <fill>
                <patternFill>
                  <bgColor theme="9" tint="0.59996337778862885"/>
                </patternFill>
              </fill>
            </x14:dxf>
          </x14:cfRule>
          <x14:cfRule type="expression" priority="210" id="{10B0C629-5229-5741-8814-47C23653F585}">
            <xm:f>OR(November!$C15="Anderledes dag")</xm:f>
            <x14:dxf>
              <font>
                <color theme="1"/>
              </font>
              <fill>
                <patternFill>
                  <bgColor theme="5" tint="0.59996337778862885"/>
                </patternFill>
              </fill>
            </x14:dxf>
          </x14:cfRule>
          <x14:cfRule type="expression" priority="17" stopIfTrue="1" id="{12B65225-6904-CC4C-8658-0DD67F5D1E60}">
            <xm:f>OR(November!$C15="Normal uge 6")</xm:f>
            <x14:dxf>
              <font>
                <color theme="0"/>
              </font>
              <fill>
                <patternFill patternType="solid">
                  <bgColor theme="9" tint="-0.499984740745262"/>
                </patternFill>
              </fill>
            </x14:dxf>
          </x14:cfRule>
          <x14:cfRule type="expression" priority="209" id="{424CA31F-F876-044A-8C78-B97F3ED4E77F}">
            <xm:f>OR(November!$C15="Koloni")</xm:f>
            <x14:dxf>
              <font>
                <color theme="1"/>
              </font>
              <fill>
                <patternFill>
                  <bgColor theme="8" tint="0.59996337778862885"/>
                </patternFill>
              </fill>
            </x14:dxf>
          </x14:cfRule>
          <x14:cfRule type="expression" priority="18" stopIfTrue="1" id="{1CA40EBA-855A-CC46-B377-BBB9A52CFB8C}">
            <xm:f>OR(November!$C15="Normal uge 5")</xm:f>
            <x14:dxf>
              <font>
                <color theme="0"/>
              </font>
              <fill>
                <patternFill patternType="solid">
                  <bgColor theme="9" tint="-0.24994659260841701"/>
                </patternFill>
              </fill>
            </x14:dxf>
          </x14:cfRule>
          <x14:cfRule type="expression" priority="208" id="{AE4A69DD-8974-384D-88EA-85B8037F6619}">
            <xm:f>OR(November!$C15="ekskursion")</xm:f>
            <x14:dxf>
              <font>
                <color theme="1"/>
              </font>
              <fill>
                <patternFill>
                  <bgColor rgb="FFFFFF00"/>
                </patternFill>
              </fill>
            </x14:dxf>
          </x14:cfRule>
          <x14:cfRule type="expression" priority="207" id="{53A8A721-84E5-0540-99F6-1651359930EE}">
            <xm:f>OR(November!$C15="Nul-dag")</xm:f>
            <x14:dxf>
              <font>
                <color theme="1"/>
              </font>
              <fill>
                <patternFill>
                  <bgColor theme="5" tint="0.79998168889431442"/>
                </patternFill>
              </fill>
            </x14:dxf>
          </x14:cfRule>
          <x14:cfRule type="expression" priority="206" id="{92B11184-5B7D-8149-BF15-373E3D53B745}">
            <xm:f>OR(November!$C15="SH-dag")</xm:f>
            <x14:dxf>
              <font>
                <color theme="1"/>
              </font>
              <fill>
                <patternFill>
                  <bgColor rgb="FFFF2F82"/>
                </patternFill>
              </fill>
            </x14:dxf>
          </x14:cfRule>
          <x14:cfRule type="expression" priority="205" id="{3B001809-7899-1345-9BA5-AC7E3D02373E}">
            <xm:f>OR(November!$C15="pæd.dag")</xm:f>
            <x14:dxf>
              <font>
                <color theme="1"/>
              </font>
              <fill>
                <patternFill>
                  <bgColor theme="7" tint="0.39994506668294322"/>
                </patternFill>
              </fill>
            </x14:dxf>
          </x14:cfRule>
          <x14:cfRule type="expression" priority="204" id="{07CB9E71-DDBD-AF45-8CF4-8ECD9331321F}">
            <xm:f>OR(November!$C15="Normal uge 4")</xm:f>
            <x14:dxf>
              <font>
                <color theme="0"/>
              </font>
              <fill>
                <patternFill patternType="solid">
                  <bgColor theme="4" tint="-0.24994659260841701"/>
                </patternFill>
              </fill>
            </x14:dxf>
          </x14:cfRule>
          <x14:cfRule type="expression" priority="203" id="{35DA9DEE-C7EF-FC45-918C-F90373E0AEE4}">
            <xm:f>OR(November!$C15="Ikke relevant")</xm:f>
            <x14:dxf>
              <font>
                <color theme="0"/>
              </font>
              <fill>
                <patternFill>
                  <bgColor theme="1"/>
                </patternFill>
              </fill>
            </x14:dxf>
          </x14:cfRule>
          <x14:cfRule type="expression" priority="202" id="{81399C38-2A1F-5746-905C-5B3B84819EEE}">
            <xm:f>OR(November!$C15="Normal uge 3")</xm:f>
            <x14:dxf>
              <font>
                <color theme="0"/>
              </font>
              <fill>
                <patternFill patternType="solid">
                  <bgColor theme="4" tint="0.39994506668294322"/>
                </patternFill>
              </fill>
            </x14:dxf>
          </x14:cfRule>
          <x14:cfRule type="expression" priority="201" id="{808C1E30-2409-C640-9FEB-8252B2B5E5CA}">
            <xm:f>OR(November!$C15="Normal uge 2")</xm:f>
            <x14:dxf>
              <font>
                <color theme="1"/>
              </font>
              <fill>
                <patternFill patternType="solid">
                  <bgColor theme="4" tint="0.59996337778862885"/>
                </patternFill>
              </fill>
            </x14:dxf>
          </x14:cfRule>
          <x14:cfRule type="expression" priority="200" id="{63FB16C5-0BF4-A447-856A-E44B2ED49842}">
            <xm:f>OR(November!$C15="Normal uge 1")</xm:f>
            <x14:dxf>
              <font>
                <color theme="1"/>
              </font>
              <fill>
                <patternFill patternType="solid">
                  <bgColor theme="4" tint="0.79998168889431442"/>
                </patternFill>
              </fill>
            </x14:dxf>
          </x14:cfRule>
          <x14:cfRule type="expression" priority="199" id="{3A05D56C-AEAD-D847-BE32-3AC30DEF14E2}">
            <xm:f>OR(November!$C15="Orlov")</xm:f>
            <x14:dxf>
              <font>
                <color theme="0"/>
              </font>
              <fill>
                <patternFill patternType="solid">
                  <bgColor theme="6" tint="-0.24994659260841701"/>
                </patternFill>
              </fill>
            </x14:dxf>
          </x14:cfRule>
          <x14:cfRule type="expression" priority="198" id="{165ED119-5A45-2B4A-8105-66D3A0140689}">
            <xm:f>OR(November!$C15="Rul 6")</xm:f>
            <x14:dxf>
              <font>
                <color theme="0"/>
              </font>
              <fill>
                <patternFill patternType="solid">
                  <bgColor theme="2" tint="-0.89996032593768116"/>
                </patternFill>
              </fill>
            </x14:dxf>
          </x14:cfRule>
          <x14:cfRule type="expression" priority="197" id="{BC677A7B-CC72-2641-890F-724D180E4868}">
            <xm:f>OR(November!$C15="Rul 5")</xm:f>
            <x14:dxf>
              <font>
                <color theme="0"/>
              </font>
              <fill>
                <patternFill patternType="solid">
                  <bgColor theme="2" tint="-0.749961851863155"/>
                </patternFill>
              </fill>
            </x14:dxf>
          </x14:cfRule>
          <x14:cfRule type="expression" priority="196" id="{6FF21E42-E4A6-9447-8B43-275F4FC50A8B}">
            <xm:f>OR(November!$C15="Rul 4")</xm:f>
            <x14:dxf>
              <font>
                <color theme="1"/>
              </font>
              <fill>
                <patternFill patternType="solid">
                  <bgColor theme="2" tint="-0.499984740745262"/>
                </patternFill>
              </fill>
            </x14:dxf>
          </x14:cfRule>
          <x14:cfRule type="expression" priority="195" id="{C947C6C5-1819-8D4B-99C7-DE66D40F5858}">
            <xm:f>OR(November!$C15="Rul 3")</xm:f>
            <x14:dxf>
              <font>
                <color theme="1"/>
              </font>
              <fill>
                <patternFill patternType="solid">
                  <bgColor theme="2" tint="-0.24994659260841701"/>
                </patternFill>
              </fill>
            </x14:dxf>
          </x14:cfRule>
          <x14:cfRule type="expression" priority="194" id="{A01D1035-F19B-A042-86DD-7FC4E4F2F106}">
            <xm:f>OR(November!$C15="Rul 2")</xm:f>
            <x14:dxf>
              <font>
                <color theme="1"/>
              </font>
              <fill>
                <patternFill patternType="solid">
                  <bgColor theme="2" tint="-9.9948118533890809E-2"/>
                </patternFill>
              </fill>
            </x14:dxf>
          </x14:cfRule>
          <x14:cfRule type="expression" priority="193" id="{51A5BC38-7D7B-5A41-B143-F2FFF684B5AA}">
            <xm:f>OR(November!$C15="Rul 1")</xm:f>
            <x14:dxf>
              <font>
                <color theme="1"/>
              </font>
              <fill>
                <patternFill patternType="solid">
                  <bgColor theme="2"/>
                </patternFill>
              </fill>
            </x14:dxf>
          </x14:cfRule>
          <xm:sqref>M3:P32</xm:sqref>
        </x14:conditionalFormatting>
        <x14:conditionalFormatting xmlns:xm="http://schemas.microsoft.com/office/excel/2006/main">
          <x14:cfRule type="expression" priority="176" id="{2DD60D8D-31C8-2D4A-9BEF-FAAAB885EB5E}">
            <xm:f>OR(December!$C15="Rul 5")</xm:f>
            <x14:dxf>
              <font>
                <color theme="0"/>
              </font>
              <fill>
                <patternFill patternType="solid">
                  <bgColor theme="2" tint="-0.749961851863155"/>
                </patternFill>
              </fill>
            </x14:dxf>
          </x14:cfRule>
          <x14:cfRule type="expression" priority="15" stopIfTrue="1" id="{CAFCE064-A83B-EA43-A08B-C169D2DD873A}">
            <xm:f>OR(December!$C15="Normal uge 6")</xm:f>
            <x14:dxf>
              <font>
                <color theme="0"/>
              </font>
              <fill>
                <patternFill patternType="solid">
                  <bgColor theme="9" tint="-0.499984740745262"/>
                </patternFill>
              </fill>
            </x14:dxf>
          </x14:cfRule>
          <x14:cfRule type="expression" priority="16" id="{14E59A13-74CF-B344-B49F-48499C0577A0}">
            <xm:f>OR(December!$C15="Normal uge 5")</xm:f>
            <x14:dxf>
              <font>
                <color theme="0"/>
              </font>
              <fill>
                <patternFill patternType="solid">
                  <bgColor theme="9" tint="-0.24994659260841701"/>
                </patternFill>
              </fill>
            </x14:dxf>
          </x14:cfRule>
          <x14:cfRule type="expression" priority="175" id="{C11037B7-ED9C-3347-B110-C878FBB168A5}">
            <xm:f>OR(December!$C15="Rul 4")</xm:f>
            <x14:dxf>
              <font>
                <color theme="1"/>
              </font>
              <fill>
                <patternFill patternType="solid">
                  <bgColor theme="2" tint="-0.499984740745262"/>
                </patternFill>
              </fill>
            </x14:dxf>
          </x14:cfRule>
          <x14:cfRule type="expression" priority="174" id="{D80E8CE9-4F38-B34C-A50F-53344682619D}">
            <xm:f>OR(December!$C15="Rul 3")</xm:f>
            <x14:dxf>
              <font>
                <color theme="1"/>
              </font>
              <fill>
                <patternFill patternType="solid">
                  <bgColor theme="2" tint="-0.24994659260841701"/>
                </patternFill>
              </fill>
            </x14:dxf>
          </x14:cfRule>
          <x14:cfRule type="expression" priority="173" stopIfTrue="1" id="{D22E6669-D0FE-8E45-9344-F8E3C1FAB8A5}">
            <xm:f>OR(December!$C15="Rul 2")</xm:f>
            <x14:dxf>
              <font>
                <color theme="1"/>
              </font>
              <fill>
                <patternFill patternType="solid">
                  <bgColor theme="2" tint="-9.9948118533890809E-2"/>
                </patternFill>
              </fill>
            </x14:dxf>
          </x14:cfRule>
          <x14:cfRule type="expression" priority="172" id="{E5B41D73-80B2-3A47-987B-495D8BFCAD68}">
            <xm:f>OR(December!$C15="Rul 1")</xm:f>
            <x14:dxf>
              <font>
                <color theme="1"/>
              </font>
              <fill>
                <patternFill patternType="solid">
                  <bgColor theme="2"/>
                </patternFill>
              </fill>
            </x14:dxf>
          </x14:cfRule>
          <x14:cfRule type="expression" priority="178" id="{B9EE867C-6DEB-4C44-925A-9543B47E4165}">
            <xm:f>OR(December!$C15="Orlov")</xm:f>
            <x14:dxf>
              <font>
                <color theme="0"/>
              </font>
              <fill>
                <patternFill patternType="solid">
                  <bgColor theme="6" tint="-0.24994659260841701"/>
                </patternFill>
              </fill>
            </x14:dxf>
          </x14:cfRule>
          <x14:cfRule type="expression" priority="179" id="{CF96D155-D259-814B-9EA9-00BAA076ED96}">
            <xm:f>OR(December!$C15="Normal uge 1")</xm:f>
            <x14:dxf>
              <font>
                <color theme="1"/>
              </font>
              <fill>
                <patternFill patternType="solid">
                  <bgColor theme="4" tint="0.79998168889431442"/>
                </patternFill>
              </fill>
            </x14:dxf>
          </x14:cfRule>
          <x14:cfRule type="expression" priority="180" id="{C87A20D4-B989-8C43-8988-D4B6236D4314}">
            <xm:f>OR(December!$C15="Normal uge 2")</xm:f>
            <x14:dxf>
              <font>
                <color theme="1"/>
              </font>
              <fill>
                <patternFill patternType="solid">
                  <bgColor theme="4" tint="0.59996337778862885"/>
                </patternFill>
              </fill>
            </x14:dxf>
          </x14:cfRule>
          <x14:cfRule type="expression" priority="181" id="{910AAC87-0FD5-464C-B4B7-CD283BA7340D}">
            <xm:f>OR(December!$C15="Normal uge 3")</xm:f>
            <x14:dxf>
              <font>
                <color theme="0"/>
              </font>
              <fill>
                <patternFill patternType="solid">
                  <bgColor theme="4" tint="0.39994506668294322"/>
                </patternFill>
              </fill>
            </x14:dxf>
          </x14:cfRule>
          <x14:cfRule type="expression" priority="182" id="{CF602155-52E8-BD47-9664-CC853D146EB2}">
            <xm:f>OR(December!$C15="Ikke relevant")</xm:f>
            <x14:dxf>
              <font>
                <color theme="0"/>
              </font>
              <fill>
                <patternFill>
                  <bgColor theme="1"/>
                </patternFill>
              </fill>
            </x14:dxf>
          </x14:cfRule>
          <x14:cfRule type="expression" priority="183" id="{93CA2AD1-0181-1046-B35F-05043D7BEA9D}">
            <xm:f>OR(December!$C15="Normal uge 4")</xm:f>
            <x14:dxf>
              <font>
                <color theme="0"/>
              </font>
              <fill>
                <patternFill patternType="solid">
                  <bgColor theme="4" tint="-0.24994659260841701"/>
                </patternFill>
              </fill>
            </x14:dxf>
          </x14:cfRule>
          <x14:cfRule type="expression" priority="184" id="{5869F6DE-2125-6E4A-BF5D-720F7B4BA169}">
            <xm:f>OR(December!$C15="pæd.dag")</xm:f>
            <x14:dxf>
              <font>
                <color theme="1"/>
              </font>
              <fill>
                <patternFill>
                  <bgColor theme="7" tint="0.39994506668294322"/>
                </patternFill>
              </fill>
            </x14:dxf>
          </x14:cfRule>
          <x14:cfRule type="expression" priority="185" id="{5D67AD57-F894-A642-86C6-5A2A7D404523}">
            <xm:f>OR(December!$C15="SH-dag")</xm:f>
            <x14:dxf>
              <font>
                <color theme="1"/>
              </font>
              <fill>
                <patternFill>
                  <bgColor rgb="FFFF2F82"/>
                </patternFill>
              </fill>
            </x14:dxf>
          </x14:cfRule>
          <x14:cfRule type="expression" priority="186" id="{F7CF4D25-B16A-174A-9A05-065E8E49BE2B}">
            <xm:f>OR(December!$C15="Nul-dag")</xm:f>
            <x14:dxf>
              <font>
                <color theme="1"/>
              </font>
              <fill>
                <patternFill>
                  <bgColor theme="5" tint="0.79998168889431442"/>
                </patternFill>
              </fill>
            </x14:dxf>
          </x14:cfRule>
          <x14:cfRule type="expression" priority="187" id="{4FC6BC1A-D545-3849-91F1-5B3F20354F2A}">
            <xm:f>OR(December!$C15="ekskursion")</xm:f>
            <x14:dxf>
              <font>
                <color theme="1"/>
              </font>
              <fill>
                <patternFill>
                  <bgColor rgb="FFFFFF00"/>
                </patternFill>
              </fill>
            </x14:dxf>
          </x14:cfRule>
          <x14:cfRule type="expression" priority="188" id="{0D332B5A-8D0F-DB4E-95EB-EB95764E218F}">
            <xm:f>OR(December!$C15="Koloni")</xm:f>
            <x14:dxf>
              <font>
                <color theme="1"/>
              </font>
              <fill>
                <patternFill>
                  <bgColor theme="8" tint="0.59996337778862885"/>
                </patternFill>
              </fill>
            </x14:dxf>
          </x14:cfRule>
          <x14:cfRule type="expression" priority="189" id="{5E52E974-5EEC-D145-9BB9-FADEC1E2DF1D}">
            <xm:f>OR(December!$C15="Anderledes dag")</xm:f>
            <x14:dxf>
              <font>
                <color theme="1"/>
              </font>
              <fill>
                <patternFill>
                  <bgColor theme="5" tint="0.59996337778862885"/>
                </patternFill>
              </fill>
            </x14:dxf>
          </x14:cfRule>
          <x14:cfRule type="expression" priority="190" id="{B4B3201D-A4A9-544C-B992-3F82B547BF07}">
            <xm:f>OR(December!$C15="ferieåbning")</xm:f>
            <x14:dxf>
              <font>
                <color theme="1"/>
              </font>
              <fill>
                <patternFill>
                  <bgColor theme="9" tint="0.59996337778862885"/>
                </patternFill>
              </fill>
            </x14:dxf>
          </x14:cfRule>
          <x14:cfRule type="expression" priority="191" id="{D73917A2-3D71-1247-AC23-2CE263313DB9}">
            <xm:f>OR(December!$C15="feriedag")</xm:f>
            <x14:dxf>
              <font>
                <color theme="1"/>
              </font>
              <fill>
                <patternFill>
                  <bgColor theme="6" tint="0.39994506668294322"/>
                </patternFill>
              </fill>
            </x14:dxf>
          </x14:cfRule>
          <x14:cfRule type="expression" priority="192" id="{2C4C88AE-FFB3-1D4A-9C59-A3CEACA826C4}">
            <xm:f>OR(December!$C15="weekend")</xm:f>
            <x14:dxf>
              <font>
                <color theme="1"/>
              </font>
              <fill>
                <patternFill>
                  <bgColor theme="0" tint="-0.14996795556505021"/>
                </patternFill>
              </fill>
            </x14:dxf>
          </x14:cfRule>
          <x14:cfRule type="expression" priority="177" id="{67E8704C-40EC-6640-ABDF-9043421A0C8D}">
            <xm:f>OR(December!$C15="Rul 6")</xm:f>
            <x14:dxf>
              <font>
                <color theme="0"/>
              </font>
              <fill>
                <patternFill patternType="solid">
                  <bgColor theme="2" tint="-0.89996032593768116"/>
                </patternFill>
              </fill>
            </x14:dxf>
          </x14:cfRule>
          <xm:sqref>Q3:T33</xm:sqref>
        </x14:conditionalFormatting>
        <x14:conditionalFormatting xmlns:xm="http://schemas.microsoft.com/office/excel/2006/main">
          <x14:cfRule type="expression" priority="154" id="{3BAFA6A2-3224-254B-825D-5837F924D417}">
            <xm:f>OR(Januar!$C15="Rul 4")</xm:f>
            <x14:dxf>
              <font>
                <color theme="1"/>
              </font>
              <fill>
                <patternFill patternType="solid">
                  <bgColor theme="2" tint="-0.499984740745262"/>
                </patternFill>
              </fill>
            </x14:dxf>
          </x14:cfRule>
          <x14:cfRule type="expression" priority="171" id="{C639BB3F-342A-F446-89AE-1580720B30CA}">
            <xm:f>OR(Januar!$C15="weekend")</xm:f>
            <x14:dxf>
              <font>
                <color theme="1"/>
              </font>
              <fill>
                <patternFill>
                  <bgColor theme="0" tint="-0.14996795556505021"/>
                </patternFill>
              </fill>
            </x14:dxf>
          </x14:cfRule>
          <x14:cfRule type="expression" priority="14" stopIfTrue="1" id="{A7B4C2AA-7083-C84C-9F04-B4380E78C91B}">
            <xm:f>OR(Januar!$C15="Normal uge 5")</xm:f>
            <x14:dxf>
              <font>
                <color theme="0"/>
              </font>
              <fill>
                <patternFill patternType="solid">
                  <bgColor theme="9" tint="-0.24994659260841701"/>
                </patternFill>
              </fill>
            </x14:dxf>
          </x14:cfRule>
          <x14:cfRule type="expression" priority="13" stopIfTrue="1" id="{97B98F68-427B-7741-95DA-C88D7FE7E1D6}">
            <xm:f>OR(Januar!$C15="Normal uge 6")</xm:f>
            <x14:dxf>
              <font>
                <color theme="0"/>
              </font>
              <fill>
                <patternFill patternType="solid">
                  <bgColor theme="9" tint="-0.499984740745262"/>
                </patternFill>
              </fill>
            </x14:dxf>
          </x14:cfRule>
          <x14:cfRule type="expression" priority="170" id="{F1799453-940E-3846-94D3-4B4C34E5B9B6}">
            <xm:f>OR(Januar!$C15="feriedag")</xm:f>
            <x14:dxf>
              <font>
                <color theme="1"/>
              </font>
              <fill>
                <patternFill>
                  <bgColor theme="6" tint="0.39994506668294322"/>
                </patternFill>
              </fill>
            </x14:dxf>
          </x14:cfRule>
          <x14:cfRule type="expression" priority="169" id="{DDD9E5E4-0F7E-FF4E-BB26-D6068686E134}">
            <xm:f>OR(Januar!$C15="ferieåbning")</xm:f>
            <x14:dxf>
              <font>
                <color theme="1"/>
              </font>
              <fill>
                <patternFill>
                  <bgColor theme="9" tint="0.59996337778862885"/>
                </patternFill>
              </fill>
            </x14:dxf>
          </x14:cfRule>
          <x14:cfRule type="expression" priority="168" id="{D28D3831-D04E-EA45-A018-89A5E88C465B}">
            <xm:f>OR(Januar!$C15="Anderledes dag")</xm:f>
            <x14:dxf>
              <font>
                <color theme="1"/>
              </font>
              <fill>
                <patternFill>
                  <bgColor theme="5" tint="0.59996337778862885"/>
                </patternFill>
              </fill>
            </x14:dxf>
          </x14:cfRule>
          <x14:cfRule type="expression" priority="167" id="{7409F930-B5EC-774C-A9D5-86A220C842E0}">
            <xm:f>OR(Januar!$C15="Koloni")</xm:f>
            <x14:dxf>
              <font>
                <color theme="1"/>
              </font>
              <fill>
                <patternFill>
                  <bgColor theme="8" tint="0.59996337778862885"/>
                </patternFill>
              </fill>
            </x14:dxf>
          </x14:cfRule>
          <x14:cfRule type="expression" priority="166" id="{76358AE3-D92A-3A40-9742-9D6F7431D143}">
            <xm:f>OR(Januar!$C15="ekskursion")</xm:f>
            <x14:dxf>
              <font>
                <color theme="1"/>
              </font>
              <fill>
                <patternFill>
                  <bgColor rgb="FFFFFF00"/>
                </patternFill>
              </fill>
            </x14:dxf>
          </x14:cfRule>
          <x14:cfRule type="expression" priority="165" id="{8D12663C-3EEC-EC41-9135-DA69D901CB7D}">
            <xm:f>OR(Januar!$C15="Nul-dag")</xm:f>
            <x14:dxf>
              <font>
                <color theme="1"/>
              </font>
              <fill>
                <patternFill>
                  <bgColor theme="5" tint="0.79998168889431442"/>
                </patternFill>
              </fill>
            </x14:dxf>
          </x14:cfRule>
          <x14:cfRule type="expression" priority="164" id="{E4C7788D-EC68-6E4C-BBFF-14836112ED40}">
            <xm:f>OR(Januar!$C15="SH-dag")</xm:f>
            <x14:dxf>
              <font>
                <color theme="1"/>
              </font>
              <fill>
                <patternFill>
                  <bgColor rgb="FFFF2F82"/>
                </patternFill>
              </fill>
            </x14:dxf>
          </x14:cfRule>
          <x14:cfRule type="expression" priority="163" id="{55A1AF1F-2E97-D74E-A4A4-612E97EECC91}">
            <xm:f>OR(Januar!$C15="pæd.dag")</xm:f>
            <x14:dxf>
              <font>
                <color theme="1"/>
              </font>
              <fill>
                <patternFill>
                  <bgColor theme="7" tint="0.39994506668294322"/>
                </patternFill>
              </fill>
            </x14:dxf>
          </x14:cfRule>
          <x14:cfRule type="expression" priority="162" id="{D323EB46-1792-8D43-B0CC-F1F3020A7257}">
            <xm:f>OR(Januar!$C15="Normal uge 4")</xm:f>
            <x14:dxf>
              <font>
                <color theme="0"/>
              </font>
              <fill>
                <patternFill patternType="solid">
                  <bgColor theme="4" tint="-0.24994659260841701"/>
                </patternFill>
              </fill>
            </x14:dxf>
          </x14:cfRule>
          <x14:cfRule type="expression" priority="161" id="{F13FE09A-F033-5E45-B7F4-582DB6855A33}">
            <xm:f>OR(Januar!$C15="Ikke relevant")</xm:f>
            <x14:dxf>
              <font>
                <color theme="0"/>
              </font>
              <fill>
                <patternFill>
                  <bgColor theme="1"/>
                </patternFill>
              </fill>
            </x14:dxf>
          </x14:cfRule>
          <x14:cfRule type="expression" priority="160" id="{7709D0ED-B7F4-7F41-8A82-784006C67390}">
            <xm:f>OR(Januar!$C15="Normal uge 3")</xm:f>
            <x14:dxf>
              <font>
                <color theme="0"/>
              </font>
              <fill>
                <patternFill patternType="solid">
                  <bgColor theme="4" tint="0.39994506668294322"/>
                </patternFill>
              </fill>
            </x14:dxf>
          </x14:cfRule>
          <x14:cfRule type="expression" priority="159" id="{36387AC7-38E2-3747-9C99-720CD39080DE}">
            <xm:f>OR(Januar!$C15="Normal uge 2")</xm:f>
            <x14:dxf>
              <font>
                <color theme="1"/>
              </font>
              <fill>
                <patternFill patternType="solid">
                  <bgColor theme="4" tint="0.59996337778862885"/>
                </patternFill>
              </fill>
            </x14:dxf>
          </x14:cfRule>
          <x14:cfRule type="expression" priority="158" id="{D746EBEA-F9E5-7C45-9E0B-10BDD6045E72}">
            <xm:f>OR(Januar!$C15="Normal uge 1")</xm:f>
            <x14:dxf>
              <font>
                <color theme="1"/>
              </font>
              <fill>
                <patternFill patternType="solid">
                  <bgColor theme="4" tint="0.79998168889431442"/>
                </patternFill>
              </fill>
            </x14:dxf>
          </x14:cfRule>
          <x14:cfRule type="expression" priority="157" id="{57CB9F84-6470-4B4C-A67A-B3327B96E335}">
            <xm:f>OR(Januar!$C15="Orlov")</xm:f>
            <x14:dxf>
              <font>
                <color theme="0"/>
              </font>
              <fill>
                <patternFill patternType="solid">
                  <bgColor theme="6" tint="-0.24994659260841701"/>
                </patternFill>
              </fill>
            </x14:dxf>
          </x14:cfRule>
          <x14:cfRule type="expression" priority="156" id="{EBEA0FB3-B188-BE40-9720-DEBA27ED45CF}">
            <xm:f>OR(Januar!$C15="Rul 6")</xm:f>
            <x14:dxf>
              <font>
                <color theme="0"/>
              </font>
              <fill>
                <patternFill patternType="solid">
                  <bgColor theme="2" tint="-0.89996032593768116"/>
                </patternFill>
              </fill>
            </x14:dxf>
          </x14:cfRule>
          <x14:cfRule type="expression" priority="155" id="{C21DF057-94D0-5F4E-9881-748C94FC8E24}">
            <xm:f>OR(Januar!$C15="Rul 5")</xm:f>
            <x14:dxf>
              <font>
                <color theme="0"/>
              </font>
              <fill>
                <patternFill patternType="solid">
                  <bgColor theme="2" tint="-0.749961851863155"/>
                </patternFill>
              </fill>
            </x14:dxf>
          </x14:cfRule>
          <x14:cfRule type="expression" priority="151" id="{B8679B30-6C7F-7241-B449-55BD8CC6D054}">
            <xm:f>OR(Januar!$C15="Rul 1")</xm:f>
            <x14:dxf>
              <font>
                <color theme="1"/>
              </font>
              <fill>
                <patternFill patternType="solid">
                  <bgColor theme="2"/>
                </patternFill>
              </fill>
            </x14:dxf>
          </x14:cfRule>
          <x14:cfRule type="expression" priority="152" id="{BF1EDA2C-C522-B844-9F9E-59DFFAD8D805}">
            <xm:f>OR(Januar!$C15="Rul 2")</xm:f>
            <x14:dxf>
              <font>
                <color theme="1"/>
              </font>
              <fill>
                <patternFill patternType="solid">
                  <bgColor theme="2" tint="-9.9948118533890809E-2"/>
                </patternFill>
              </fill>
            </x14:dxf>
          </x14:cfRule>
          <x14:cfRule type="expression" priority="153" id="{513792C6-0B30-8A45-96A7-E50A2F4D7F85}">
            <xm:f>OR(Januar!$C15="Rul 3")</xm:f>
            <x14:dxf>
              <font>
                <color theme="1"/>
              </font>
              <fill>
                <patternFill patternType="solid">
                  <bgColor theme="2" tint="-0.24994659260841701"/>
                </patternFill>
              </fill>
            </x14:dxf>
          </x14:cfRule>
          <xm:sqref>U3:X33</xm:sqref>
        </x14:conditionalFormatting>
        <x14:conditionalFormatting xmlns:xm="http://schemas.microsoft.com/office/excel/2006/main">
          <x14:cfRule type="expression" priority="67" id="{797F8E51-F10E-A64F-A257-A05C8AE9C3A4}">
            <xm:f>OR(Februar!$C15="Rul 1")</xm:f>
            <x14:dxf>
              <font>
                <color theme="1"/>
              </font>
              <fill>
                <patternFill patternType="solid">
                  <bgColor theme="2"/>
                </patternFill>
              </fill>
            </x14:dxf>
          </x14:cfRule>
          <x14:cfRule type="expression" priority="83" id="{9911FF63-9D62-1C45-8E5E-55401E267B97}">
            <xm:f>OR(Februar!$C15="Koloni")</xm:f>
            <x14:dxf>
              <font>
                <color theme="1"/>
              </font>
              <fill>
                <patternFill>
                  <bgColor theme="8" tint="0.59996337778862885"/>
                </patternFill>
              </fill>
            </x14:dxf>
          </x14:cfRule>
          <x14:cfRule type="expression" priority="82" id="{CF84852B-8754-9D41-A3BE-23D91A2D8C0A}">
            <xm:f>OR(Februar!$C15="ekskursion")</xm:f>
            <x14:dxf>
              <font>
                <color theme="1"/>
              </font>
              <fill>
                <patternFill>
                  <bgColor rgb="FFFFFF00"/>
                </patternFill>
              </fill>
            </x14:dxf>
          </x14:cfRule>
          <x14:cfRule type="expression" priority="81" id="{80FDA74B-101D-0E4A-B160-0CA68628DDFA}">
            <xm:f>OR(Februar!$C15="Nul-dag")</xm:f>
            <x14:dxf>
              <font>
                <color theme="1"/>
              </font>
              <fill>
                <patternFill>
                  <bgColor theme="5" tint="0.79998168889431442"/>
                </patternFill>
              </fill>
            </x14:dxf>
          </x14:cfRule>
          <x14:cfRule type="expression" priority="80" id="{8B80894F-66C2-8445-B102-2896D6A7093D}">
            <xm:f>OR(Februar!$C15="SH-dag")</xm:f>
            <x14:dxf>
              <font>
                <color theme="1"/>
              </font>
              <fill>
                <patternFill>
                  <bgColor rgb="FFFF2F82"/>
                </patternFill>
              </fill>
            </x14:dxf>
          </x14:cfRule>
          <x14:cfRule type="expression" priority="11" stopIfTrue="1" id="{FE38A566-7C56-5D4C-9653-CC9A3B0BFA78}">
            <xm:f>OR(Februar!$C15="Normal uge 6")</xm:f>
            <x14:dxf>
              <font>
                <color theme="0"/>
              </font>
              <fill>
                <patternFill patternType="solid">
                  <bgColor theme="9" tint="-0.499984740745262"/>
                </patternFill>
              </fill>
            </x14:dxf>
          </x14:cfRule>
          <x14:cfRule type="expression" priority="79" id="{CB2BE47A-49CC-E84D-BD33-330AAE527469}">
            <xm:f>OR(Februar!$C15="pæd.dag")</xm:f>
            <x14:dxf>
              <font>
                <color theme="1"/>
              </font>
              <fill>
                <patternFill>
                  <bgColor theme="7" tint="0.39994506668294322"/>
                </patternFill>
              </fill>
            </x14:dxf>
          </x14:cfRule>
          <x14:cfRule type="expression" priority="78" id="{0856ED7F-CA5B-B141-A535-820384641D7C}">
            <xm:f>OR(Februar!$C15="Normal uge 4")</xm:f>
            <x14:dxf>
              <font>
                <color theme="0"/>
              </font>
              <fill>
                <patternFill patternType="solid">
                  <bgColor theme="4" tint="-0.24994659260841701"/>
                </patternFill>
              </fill>
            </x14:dxf>
          </x14:cfRule>
          <x14:cfRule type="expression" priority="77" id="{57044A44-2B34-AC4E-A6A5-0EC59C3A7B39}">
            <xm:f>OR(Februar!$C15="Ikke relevant")</xm:f>
            <x14:dxf>
              <font>
                <color theme="0"/>
              </font>
              <fill>
                <patternFill>
                  <bgColor theme="1"/>
                </patternFill>
              </fill>
            </x14:dxf>
          </x14:cfRule>
          <x14:cfRule type="expression" priority="76" id="{261BA2DD-F280-5449-929B-72BD3E809F9F}">
            <xm:f>OR(Februar!$C15="Normal uge 3")</xm:f>
            <x14:dxf>
              <font>
                <color theme="0"/>
              </font>
              <fill>
                <patternFill patternType="solid">
                  <bgColor theme="4" tint="0.39994506668294322"/>
                </patternFill>
              </fill>
            </x14:dxf>
          </x14:cfRule>
          <x14:cfRule type="expression" priority="75" id="{0594403B-733A-1C49-A048-CC822AD529F0}">
            <xm:f>OR(Februar!$C15="Normal uge 2")</xm:f>
            <x14:dxf>
              <font>
                <color theme="1"/>
              </font>
              <fill>
                <patternFill patternType="solid">
                  <bgColor theme="4" tint="0.59996337778862885"/>
                </patternFill>
              </fill>
            </x14:dxf>
          </x14:cfRule>
          <x14:cfRule type="expression" priority="74" id="{93F707C5-ACFD-DF45-A27E-CD14BFF8338D}">
            <xm:f>OR(Februar!$C15="Normal uge 1")</xm:f>
            <x14:dxf>
              <font>
                <color theme="1"/>
              </font>
              <fill>
                <patternFill patternType="solid">
                  <bgColor theme="4" tint="0.79998168889431442"/>
                </patternFill>
              </fill>
            </x14:dxf>
          </x14:cfRule>
          <x14:cfRule type="expression" priority="73" id="{AAD223B6-B551-8F4B-BD0F-9539A50724AA}">
            <xm:f>OR(Februar!$C15="Orlov")</xm:f>
            <x14:dxf>
              <font>
                <color theme="0"/>
              </font>
              <fill>
                <patternFill patternType="solid">
                  <bgColor theme="6" tint="-0.24994659260841701"/>
                </patternFill>
              </fill>
            </x14:dxf>
          </x14:cfRule>
          <x14:cfRule type="expression" priority="72" id="{F404B31F-C72F-5E4E-9511-28F6D039C39B}">
            <xm:f>OR(Februar!$C15="Rul 6")</xm:f>
            <x14:dxf>
              <font>
                <color theme="0"/>
              </font>
              <fill>
                <patternFill patternType="solid">
                  <bgColor theme="2" tint="-0.89996032593768116"/>
                </patternFill>
              </fill>
            </x14:dxf>
          </x14:cfRule>
          <x14:cfRule type="expression" priority="71" id="{600AA77F-1E6F-8445-B65B-F1302A6ED817}">
            <xm:f>OR(Februar!$C15="Rul 5")</xm:f>
            <x14:dxf>
              <font>
                <color theme="0"/>
              </font>
              <fill>
                <patternFill patternType="solid">
                  <bgColor theme="2" tint="-0.749961851863155"/>
                </patternFill>
              </fill>
            </x14:dxf>
          </x14:cfRule>
          <x14:cfRule type="expression" priority="70" id="{B660896F-FBA0-2B49-B69A-1E52EBB5FE90}">
            <xm:f>OR(Februar!$C15="Rul 4")</xm:f>
            <x14:dxf>
              <font>
                <color theme="1"/>
              </font>
              <fill>
                <patternFill patternType="solid">
                  <bgColor theme="2" tint="-0.499984740745262"/>
                </patternFill>
              </fill>
            </x14:dxf>
          </x14:cfRule>
          <x14:cfRule type="expression" priority="69" id="{D612AFF0-EDFC-134C-86B0-637241866D9B}">
            <xm:f>OR(Februar!$C15="Rul 3")</xm:f>
            <x14:dxf>
              <font>
                <color theme="1"/>
              </font>
              <fill>
                <patternFill patternType="solid">
                  <bgColor theme="2" tint="-0.24994659260841701"/>
                </patternFill>
              </fill>
            </x14:dxf>
          </x14:cfRule>
          <x14:cfRule type="expression" priority="68" id="{F1B7B122-51B0-1240-9DC3-0CC5D2C3B0A4}">
            <xm:f>OR(Februar!$C15="Rul 2")</xm:f>
            <x14:dxf>
              <font>
                <color theme="1"/>
              </font>
              <fill>
                <patternFill patternType="solid">
                  <bgColor theme="2" tint="-9.9948118533890809E-2"/>
                </patternFill>
              </fill>
            </x14:dxf>
          </x14:cfRule>
          <x14:cfRule type="expression" priority="84" id="{50D1F161-FEFA-1D44-B411-B2018E7F97DD}">
            <xm:f>OR(Februar!$C15="Anderledes dag")</xm:f>
            <x14:dxf>
              <font>
                <color theme="1"/>
              </font>
              <fill>
                <patternFill>
                  <bgColor theme="5" tint="0.59996337778862885"/>
                </patternFill>
              </fill>
            </x14:dxf>
          </x14:cfRule>
          <x14:cfRule type="expression" priority="85" id="{35D59D4F-654C-664D-B1DA-7DD49F53AE7A}">
            <xm:f>OR(Februar!$C15="ferieåbning")</xm:f>
            <x14:dxf>
              <font>
                <color theme="1"/>
              </font>
              <fill>
                <patternFill>
                  <bgColor theme="9" tint="0.59996337778862885"/>
                </patternFill>
              </fill>
            </x14:dxf>
          </x14:cfRule>
          <x14:cfRule type="expression" priority="86" id="{34620D91-0530-E145-BC8F-D63E71E84D5C}">
            <xm:f>OR(Februar!$C15="feriedag")</xm:f>
            <x14:dxf>
              <font>
                <color theme="1"/>
              </font>
              <fill>
                <patternFill>
                  <bgColor theme="6" tint="0.39994506668294322"/>
                </patternFill>
              </fill>
            </x14:dxf>
          </x14:cfRule>
          <x14:cfRule type="expression" priority="87" id="{7198D06F-1973-0A47-9EE5-202CDA53964C}">
            <xm:f>OR(Februar!$C15="weekend")</xm:f>
            <x14:dxf>
              <font>
                <color theme="1"/>
              </font>
              <fill>
                <patternFill>
                  <bgColor theme="0" tint="-0.14996795556505021"/>
                </patternFill>
              </fill>
            </x14:dxf>
          </x14:cfRule>
          <x14:cfRule type="expression" priority="12" stopIfTrue="1" id="{D7311EE9-ED06-4843-AFC2-6362CD7A7281}">
            <xm:f>OR(Februar!$C15="Normal uge 5")</xm:f>
            <x14:dxf>
              <font>
                <color theme="0"/>
              </font>
              <fill>
                <patternFill patternType="solid">
                  <bgColor theme="9" tint="-0.24994659260841701"/>
                </patternFill>
              </fill>
            </x14:dxf>
          </x14:cfRule>
          <xm:sqref>Y3:AB31</xm:sqref>
        </x14:conditionalFormatting>
        <x14:conditionalFormatting xmlns:xm="http://schemas.microsoft.com/office/excel/2006/main">
          <x14:cfRule type="expression" priority="146" id="{CA51F688-6F49-0340-9BDE-309C8D260DA1}">
            <xm:f>OR(Marts!$C15="Koloni")</xm:f>
            <x14:dxf>
              <font>
                <color theme="1"/>
              </font>
              <fill>
                <patternFill>
                  <bgColor theme="8" tint="0.59996337778862885"/>
                </patternFill>
              </fill>
            </x14:dxf>
          </x14:cfRule>
          <x14:cfRule type="expression" priority="9" stopIfTrue="1" id="{17C96F5D-76F5-F443-8506-6B1BEC523968}">
            <xm:f>OR(Marts!$C15="Normal uge 6")</xm:f>
            <x14:dxf>
              <font>
                <color theme="0"/>
              </font>
              <fill>
                <patternFill patternType="solid">
                  <bgColor theme="9" tint="-0.499984740745262"/>
                </patternFill>
              </fill>
            </x14:dxf>
          </x14:cfRule>
          <x14:cfRule type="expression" priority="149" id="{75B88595-978D-E447-9253-B4C10547DACF}">
            <xm:f>OR(Marts!$C15="feriedag")</xm:f>
            <x14:dxf>
              <font>
                <color theme="1"/>
              </font>
              <fill>
                <patternFill>
                  <bgColor theme="6" tint="0.39994506668294322"/>
                </patternFill>
              </fill>
            </x14:dxf>
          </x14:cfRule>
          <x14:cfRule type="expression" priority="148" id="{325D87C6-4C30-204F-986C-53BF0EDF7957}">
            <xm:f>OR(Marts!$C15="ferieåbning")</xm:f>
            <x14:dxf>
              <font>
                <color theme="1"/>
              </font>
              <fill>
                <patternFill>
                  <bgColor theme="9" tint="0.59996337778862885"/>
                </patternFill>
              </fill>
            </x14:dxf>
          </x14:cfRule>
          <x14:cfRule type="expression" priority="147" id="{14E2C782-7CA8-D44E-A4C3-28128EDC1F55}">
            <xm:f>OR(Marts!$C15="Anderledes dag")</xm:f>
            <x14:dxf>
              <font>
                <color theme="1"/>
              </font>
              <fill>
                <patternFill>
                  <bgColor theme="5" tint="0.59996337778862885"/>
                </patternFill>
              </fill>
            </x14:dxf>
          </x14:cfRule>
          <x14:cfRule type="expression" priority="145" id="{83317EBE-C06F-BC41-BE15-D879AF867EB0}">
            <xm:f>OR(Marts!$C15="ekskursion")</xm:f>
            <x14:dxf>
              <font>
                <color theme="1"/>
              </font>
              <fill>
                <patternFill>
                  <bgColor rgb="FFFFFF00"/>
                </patternFill>
              </fill>
            </x14:dxf>
          </x14:cfRule>
          <x14:cfRule type="expression" priority="144" id="{D382E98A-7DFD-0C4D-8AD8-04879EED32A2}">
            <xm:f>OR(Marts!$C15="Nul-dag")</xm:f>
            <x14:dxf>
              <font>
                <color theme="1"/>
              </font>
              <fill>
                <patternFill>
                  <bgColor theme="5" tint="0.79998168889431442"/>
                </patternFill>
              </fill>
            </x14:dxf>
          </x14:cfRule>
          <x14:cfRule type="expression" priority="143" id="{4CCA7F2F-4E19-3446-B6AF-A66E9A51D9FB}">
            <xm:f>OR(Marts!$C15="SH-dag")</xm:f>
            <x14:dxf>
              <font>
                <color theme="1"/>
              </font>
              <fill>
                <patternFill>
                  <bgColor rgb="FFFF2F82"/>
                </patternFill>
              </fill>
            </x14:dxf>
          </x14:cfRule>
          <x14:cfRule type="expression" priority="142" id="{28AB30D6-B00A-AB40-BAFB-55395B2F57F9}">
            <xm:f>OR(Marts!$C15="pæd.dag")</xm:f>
            <x14:dxf>
              <font>
                <color theme="1"/>
              </font>
              <fill>
                <patternFill>
                  <bgColor theme="7" tint="0.39994506668294322"/>
                </patternFill>
              </fill>
            </x14:dxf>
          </x14:cfRule>
          <x14:cfRule type="expression" priority="141" id="{E114257F-B949-BD4F-BCE8-F490335A2B15}">
            <xm:f>OR(Marts!$C15="Normal uge 4")</xm:f>
            <x14:dxf>
              <font>
                <color theme="0"/>
              </font>
              <fill>
                <patternFill patternType="solid">
                  <bgColor theme="4" tint="-0.24994659260841701"/>
                </patternFill>
              </fill>
            </x14:dxf>
          </x14:cfRule>
          <x14:cfRule type="expression" priority="140" id="{751D9AE5-CB0E-0445-8A2E-6572F24C613B}">
            <xm:f>OR(Marts!$C15="Ikke relevant")</xm:f>
            <x14:dxf>
              <font>
                <color theme="0"/>
              </font>
              <fill>
                <patternFill>
                  <bgColor theme="1"/>
                </patternFill>
              </fill>
            </x14:dxf>
          </x14:cfRule>
          <x14:cfRule type="expression" priority="139" id="{AEF9F827-56B5-C645-ABE5-A12AC316AA7E}">
            <xm:f>OR(Marts!$C15="Normal uge 3")</xm:f>
            <x14:dxf>
              <font>
                <color theme="0"/>
              </font>
              <fill>
                <patternFill patternType="solid">
                  <bgColor theme="4" tint="0.39994506668294322"/>
                </patternFill>
              </fill>
            </x14:dxf>
          </x14:cfRule>
          <x14:cfRule type="expression" priority="138" id="{1D3894C2-4A1A-B842-AB99-87F1D5D05396}">
            <xm:f>OR(Marts!$C15="Normal uge 2")</xm:f>
            <x14:dxf>
              <font>
                <color theme="1"/>
              </font>
              <fill>
                <patternFill patternType="solid">
                  <bgColor theme="4" tint="0.59996337778862885"/>
                </patternFill>
              </fill>
            </x14:dxf>
          </x14:cfRule>
          <x14:cfRule type="expression" priority="137" id="{A7010D9C-DF42-A348-8193-9768E4E02188}">
            <xm:f>OR(Marts!$C15="Normal uge 1")</xm:f>
            <x14:dxf>
              <font>
                <color theme="1"/>
              </font>
              <fill>
                <patternFill patternType="solid">
                  <bgColor theme="4" tint="0.79998168889431442"/>
                </patternFill>
              </fill>
            </x14:dxf>
          </x14:cfRule>
          <x14:cfRule type="expression" priority="136" id="{829DE6CC-4864-DC41-810C-2D1013AE8B64}">
            <xm:f>OR(Marts!$C15="Orlov")</xm:f>
            <x14:dxf>
              <font>
                <color theme="0"/>
              </font>
              <fill>
                <patternFill patternType="solid">
                  <bgColor theme="6" tint="-0.24994659260841701"/>
                </patternFill>
              </fill>
            </x14:dxf>
          </x14:cfRule>
          <x14:cfRule type="expression" priority="135" id="{04B5FB5D-773A-E442-AB94-E4E220A7F533}">
            <xm:f>OR(Marts!$C15="Rul 6")</xm:f>
            <x14:dxf>
              <font>
                <color theme="0"/>
              </font>
              <fill>
                <patternFill patternType="solid">
                  <bgColor theme="2" tint="-0.89996032593768116"/>
                </patternFill>
              </fill>
            </x14:dxf>
          </x14:cfRule>
          <x14:cfRule type="expression" priority="134" id="{F1F14172-66C3-6947-A165-5F9212AFCA77}">
            <xm:f>OR(Marts!$C15="Rul 5")</xm:f>
            <x14:dxf>
              <font>
                <color theme="0"/>
              </font>
              <fill>
                <patternFill patternType="solid">
                  <bgColor theme="2" tint="-0.749961851863155"/>
                </patternFill>
              </fill>
            </x14:dxf>
          </x14:cfRule>
          <x14:cfRule type="expression" priority="133" id="{BF3E0083-50B9-9E48-976A-D8F64301C908}">
            <xm:f>OR(Marts!$C15="Rul 4")</xm:f>
            <x14:dxf>
              <font>
                <color theme="1"/>
              </font>
              <fill>
                <patternFill patternType="solid">
                  <bgColor theme="2" tint="-0.499984740745262"/>
                </patternFill>
              </fill>
            </x14:dxf>
          </x14:cfRule>
          <x14:cfRule type="expression" priority="132" id="{F837581E-F7FF-F24F-A49F-9AC8BC8C640A}">
            <xm:f>OR(Marts!$C15="Rul 3")</xm:f>
            <x14:dxf>
              <font>
                <color theme="1"/>
              </font>
              <fill>
                <patternFill patternType="solid">
                  <bgColor theme="2" tint="-0.24994659260841701"/>
                </patternFill>
              </fill>
            </x14:dxf>
          </x14:cfRule>
          <x14:cfRule type="expression" priority="131" id="{A007A305-4231-5F45-B71A-F8E9F98C21C6}">
            <xm:f>OR(Marts!$C15="Rul 2")</xm:f>
            <x14:dxf>
              <font>
                <color theme="1"/>
              </font>
              <fill>
                <patternFill patternType="solid">
                  <bgColor theme="2" tint="-9.9948118533890809E-2"/>
                </patternFill>
              </fill>
            </x14:dxf>
          </x14:cfRule>
          <x14:cfRule type="expression" priority="130" id="{08E03F19-14A1-074F-ADE7-983D330BA45F}">
            <xm:f>OR(Marts!$C15="Rul 1")</xm:f>
            <x14:dxf>
              <font>
                <color theme="1"/>
              </font>
              <fill>
                <patternFill patternType="solid">
                  <bgColor theme="2"/>
                </patternFill>
              </fill>
            </x14:dxf>
          </x14:cfRule>
          <x14:cfRule type="expression" priority="150" id="{0BD79AE0-9C4E-0E41-A4CF-D2FCD89BC484}">
            <xm:f>OR(Marts!$C15="weekend")</xm:f>
            <x14:dxf>
              <font>
                <color theme="1"/>
              </font>
              <fill>
                <patternFill>
                  <bgColor theme="0" tint="-0.14996795556505021"/>
                </patternFill>
              </fill>
            </x14:dxf>
          </x14:cfRule>
          <x14:cfRule type="expression" priority="10" stopIfTrue="1" id="{17E52058-FDA4-6546-A6CB-E5504C816C88}">
            <xm:f>OR(Marts!$C15="Normal uge 5")</xm:f>
            <x14:dxf>
              <font>
                <color theme="0"/>
              </font>
              <fill>
                <patternFill patternType="solid">
                  <bgColor theme="9" tint="-0.24994659260841701"/>
                </patternFill>
              </fill>
            </x14:dxf>
          </x14:cfRule>
          <xm:sqref>AC3:AF33</xm:sqref>
        </x14:conditionalFormatting>
        <x14:conditionalFormatting xmlns:xm="http://schemas.microsoft.com/office/excel/2006/main">
          <x14:cfRule type="expression" priority="61" id="{CFA94594-C163-334A-A566-013990E0420A}">
            <xm:f>OR(April!$C15="ekskursion")</xm:f>
            <x14:dxf>
              <font>
                <color theme="1"/>
              </font>
              <fill>
                <patternFill>
                  <bgColor rgb="FFFFFF00"/>
                </patternFill>
              </fill>
            </x14:dxf>
          </x14:cfRule>
          <x14:cfRule type="expression" priority="7" stopIfTrue="1" id="{B0CC67BF-5BAD-4147-9D67-66299749FADD}">
            <xm:f>OR(April!$C15="Normal uge 6")</xm:f>
            <x14:dxf>
              <font>
                <color theme="0"/>
              </font>
              <fill>
                <patternFill patternType="solid">
                  <bgColor theme="9" tint="-0.499984740745262"/>
                </patternFill>
              </fill>
            </x14:dxf>
          </x14:cfRule>
          <x14:cfRule type="expression" priority="62" id="{0103C1AD-79ED-E141-9F9F-A1B28C0A1ADF}">
            <xm:f>OR(April!$C15="Koloni")</xm:f>
            <x14:dxf>
              <font>
                <color theme="1"/>
              </font>
              <fill>
                <patternFill>
                  <bgColor theme="8" tint="0.59996337778862885"/>
                </patternFill>
              </fill>
            </x14:dxf>
          </x14:cfRule>
          <x14:cfRule type="expression" priority="63" id="{A696BD49-D3A5-F348-9FF6-868BB2BFFC3F}">
            <xm:f>OR(April!$C15="Anderledes dag")</xm:f>
            <x14:dxf>
              <font>
                <color theme="1"/>
              </font>
              <fill>
                <patternFill>
                  <bgColor theme="5" tint="0.59996337778862885"/>
                </patternFill>
              </fill>
            </x14:dxf>
          </x14:cfRule>
          <x14:cfRule type="expression" priority="64" id="{114E397D-C633-654A-B088-E38EE3180D2D}">
            <xm:f>OR(April!$C15="ferieåbning")</xm:f>
            <x14:dxf>
              <font>
                <color theme="1"/>
              </font>
              <fill>
                <patternFill>
                  <bgColor theme="9" tint="0.59996337778862885"/>
                </patternFill>
              </fill>
            </x14:dxf>
          </x14:cfRule>
          <x14:cfRule type="expression" priority="65" id="{F5D725C2-90D3-FE4D-BDB5-F88D8A62F7BE}">
            <xm:f>OR(April!$C15="feriedag")</xm:f>
            <x14:dxf>
              <font>
                <color theme="1"/>
              </font>
              <fill>
                <patternFill>
                  <bgColor theme="6" tint="0.39994506668294322"/>
                </patternFill>
              </fill>
            </x14:dxf>
          </x14:cfRule>
          <x14:cfRule type="expression" priority="66" id="{D54244E8-74F9-B240-B674-1C7F1B687A7F}">
            <xm:f>OR(April!$C15="weekend")</xm:f>
            <x14:dxf>
              <font>
                <color theme="1"/>
              </font>
              <fill>
                <patternFill>
                  <bgColor theme="0" tint="-0.14996795556505021"/>
                </patternFill>
              </fill>
            </x14:dxf>
          </x14:cfRule>
          <x14:cfRule type="expression" priority="59" id="{DAC5B431-C518-3E41-9BBA-39053E2C3632}">
            <xm:f>OR(April!$C15="SH-dag")</xm:f>
            <x14:dxf>
              <font>
                <color theme="1"/>
              </font>
              <fill>
                <patternFill>
                  <bgColor rgb="FFFF2F82"/>
                </patternFill>
              </fill>
            </x14:dxf>
          </x14:cfRule>
          <x14:cfRule type="expression" priority="58" id="{DBAE4964-A473-4D45-A06F-B8487F7BAFC2}">
            <xm:f>OR(April!$C15="pæd.dag")</xm:f>
            <x14:dxf>
              <font>
                <color theme="1"/>
              </font>
              <fill>
                <patternFill>
                  <bgColor theme="7" tint="0.39994506668294322"/>
                </patternFill>
              </fill>
            </x14:dxf>
          </x14:cfRule>
          <x14:cfRule type="expression" priority="57" id="{2F24B313-1CD3-0C4E-AD9F-CF5655D8B186}">
            <xm:f>OR(April!$C15="Normal uge 4")</xm:f>
            <x14:dxf>
              <font>
                <color theme="0"/>
              </font>
              <fill>
                <patternFill patternType="solid">
                  <bgColor theme="4" tint="-0.24994659260841701"/>
                </patternFill>
              </fill>
            </x14:dxf>
          </x14:cfRule>
          <x14:cfRule type="expression" priority="56" id="{2C650879-E906-5441-8E50-CD33CC859A59}">
            <xm:f>OR(April!$C15="Ikke relevant")</xm:f>
            <x14:dxf>
              <font>
                <color theme="0"/>
              </font>
              <fill>
                <patternFill>
                  <bgColor theme="1"/>
                </patternFill>
              </fill>
            </x14:dxf>
          </x14:cfRule>
          <x14:cfRule type="expression" priority="55" id="{29031AF9-4948-0644-9200-051B2009C35D}">
            <xm:f>OR(April!$C15="Normal uge 3")</xm:f>
            <x14:dxf>
              <font>
                <color theme="0"/>
              </font>
              <fill>
                <patternFill patternType="solid">
                  <bgColor theme="4" tint="0.39994506668294322"/>
                </patternFill>
              </fill>
            </x14:dxf>
          </x14:cfRule>
          <x14:cfRule type="expression" priority="60" id="{329F1B36-0C93-1F49-9840-D045260289ED}">
            <xm:f>OR(April!$C15="Nul-dag")</xm:f>
            <x14:dxf>
              <font>
                <color theme="1"/>
              </font>
              <fill>
                <patternFill>
                  <bgColor theme="5" tint="0.79998168889431442"/>
                </patternFill>
              </fill>
            </x14:dxf>
          </x14:cfRule>
          <x14:cfRule type="expression" priority="54" id="{F3FBEF88-3156-F946-8B8E-AE6E72DF7692}">
            <xm:f>OR(April!$C15="Normal uge 2")</xm:f>
            <x14:dxf>
              <font>
                <color theme="1"/>
              </font>
              <fill>
                <patternFill patternType="solid">
                  <bgColor theme="4" tint="0.59996337778862885"/>
                </patternFill>
              </fill>
            </x14:dxf>
          </x14:cfRule>
          <x14:cfRule type="expression" priority="53" id="{90F8141B-4A8B-054C-9EFB-BDEEAC20167A}">
            <xm:f>OR(April!$C15="Normal uge 1")</xm:f>
            <x14:dxf>
              <font>
                <color theme="1"/>
              </font>
              <fill>
                <patternFill patternType="solid">
                  <bgColor theme="4" tint="0.79998168889431442"/>
                </patternFill>
              </fill>
            </x14:dxf>
          </x14:cfRule>
          <x14:cfRule type="expression" priority="52" id="{5888B55B-FA40-4E4B-87A3-4DBB9209A7BF}">
            <xm:f>OR(April!$C15="Orlov")</xm:f>
            <x14:dxf>
              <font>
                <color theme="0"/>
              </font>
              <fill>
                <patternFill patternType="solid">
                  <bgColor theme="6" tint="-0.24994659260841701"/>
                </patternFill>
              </fill>
            </x14:dxf>
          </x14:cfRule>
          <x14:cfRule type="expression" priority="51" id="{722444AC-D001-1849-8B1E-D52337BDC929}">
            <xm:f>OR(April!$C15="Rul 6")</xm:f>
            <x14:dxf>
              <font>
                <color theme="0"/>
              </font>
              <fill>
                <patternFill patternType="solid">
                  <bgColor theme="2" tint="-0.89996032593768116"/>
                </patternFill>
              </fill>
            </x14:dxf>
          </x14:cfRule>
          <x14:cfRule type="expression" priority="50" id="{BC1A2309-91C3-4F42-9E8B-9F26530CC326}">
            <xm:f>OR(April!$C15="Rul 5")</xm:f>
            <x14:dxf>
              <font>
                <color theme="0"/>
              </font>
              <fill>
                <patternFill patternType="solid">
                  <bgColor theme="2" tint="-0.749961851863155"/>
                </patternFill>
              </fill>
            </x14:dxf>
          </x14:cfRule>
          <x14:cfRule type="expression" priority="49" id="{38394693-E532-BF4B-AC0C-1BD6FF82075C}">
            <xm:f>OR(April!$C15="Rul 4")</xm:f>
            <x14:dxf>
              <font>
                <color theme="1"/>
              </font>
              <fill>
                <patternFill patternType="solid">
                  <bgColor theme="2" tint="-0.499984740745262"/>
                </patternFill>
              </fill>
            </x14:dxf>
          </x14:cfRule>
          <x14:cfRule type="expression" priority="46" id="{843B9488-F439-5444-ADC8-9D3992E8FDC6}">
            <xm:f>OR(April!$C15="Rul 1")</xm:f>
            <x14:dxf>
              <font>
                <color theme="1"/>
              </font>
              <fill>
                <patternFill patternType="solid">
                  <bgColor theme="2"/>
                </patternFill>
              </fill>
            </x14:dxf>
          </x14:cfRule>
          <x14:cfRule type="expression" priority="47" id="{052AFFC1-773F-CA40-8B85-B714AC6E88A0}">
            <xm:f>OR(April!$C15="Rul 2")</xm:f>
            <x14:dxf>
              <font>
                <color theme="1"/>
              </font>
              <fill>
                <patternFill patternType="solid">
                  <bgColor theme="2" tint="-9.9948118533890809E-2"/>
                </patternFill>
              </fill>
            </x14:dxf>
          </x14:cfRule>
          <x14:cfRule type="expression" priority="48" id="{30EF55FB-3E65-0C40-86D2-4635D59A9CDE}">
            <xm:f>OR(April!$C15="Rul 3")</xm:f>
            <x14:dxf>
              <font>
                <color theme="1"/>
              </font>
              <fill>
                <patternFill patternType="solid">
                  <bgColor theme="2" tint="-0.24994659260841701"/>
                </patternFill>
              </fill>
            </x14:dxf>
          </x14:cfRule>
          <x14:cfRule type="expression" priority="8" id="{C349BB52-64B9-F243-89EE-782D38A786C5}">
            <xm:f>OR(April!$C15="Normal uge 5")</xm:f>
            <x14:dxf>
              <font>
                <color theme="0"/>
              </font>
              <fill>
                <patternFill patternType="solid">
                  <bgColor theme="9" tint="-0.24994659260841701"/>
                </patternFill>
              </fill>
            </x14:dxf>
          </x14:cfRule>
          <xm:sqref>AG3:AJ32</xm:sqref>
        </x14:conditionalFormatting>
        <x14:conditionalFormatting xmlns:xm="http://schemas.microsoft.com/office/excel/2006/main">
          <x14:cfRule type="expression" priority="126" id="{751D1C95-F89A-D546-B7F4-A2BCA7AB40C3}">
            <xm:f>OR(Maj!$C15="Anderledes dag")</xm:f>
            <x14:dxf>
              <font>
                <color theme="1"/>
              </font>
              <fill>
                <patternFill>
                  <bgColor theme="5" tint="0.59996337778862885"/>
                </patternFill>
              </fill>
            </x14:dxf>
          </x14:cfRule>
          <x14:cfRule type="expression" priority="6" id="{10AD8509-3D24-8F44-BDCF-556D507C97E3}">
            <xm:f>OR(Maj!$C15="Normal uge 5")</xm:f>
            <x14:dxf>
              <font>
                <color theme="0"/>
              </font>
              <fill>
                <patternFill patternType="solid">
                  <bgColor theme="9" tint="-0.24994659260841701"/>
                </patternFill>
              </fill>
            </x14:dxf>
          </x14:cfRule>
          <x14:cfRule type="expression" priority="127" id="{3A14A4CA-E9C0-384C-A7F9-34DC706C5659}">
            <xm:f>OR(Maj!$C15="ferieåbning")</xm:f>
            <x14:dxf>
              <font>
                <color theme="1"/>
              </font>
              <fill>
                <patternFill>
                  <bgColor theme="9" tint="0.59996337778862885"/>
                </patternFill>
              </fill>
            </x14:dxf>
          </x14:cfRule>
          <x14:cfRule type="expression" priority="128" id="{2811358B-FFDA-C146-A352-57F01D0BD894}">
            <xm:f>OR(Maj!$C15="feriedag")</xm:f>
            <x14:dxf>
              <font>
                <color theme="1"/>
              </font>
              <fill>
                <patternFill>
                  <bgColor theme="6" tint="0.39994506668294322"/>
                </patternFill>
              </fill>
            </x14:dxf>
          </x14:cfRule>
          <x14:cfRule type="expression" priority="5" id="{009ACF66-39D6-8A4E-A580-E0FA1CE31C33}">
            <xm:f>OR(Maj!$C15="Normal uge 6")</xm:f>
            <x14:dxf>
              <font>
                <color theme="0"/>
              </font>
              <fill>
                <patternFill patternType="solid">
                  <bgColor theme="9" tint="-0.499984740745262"/>
                </patternFill>
              </fill>
            </x14:dxf>
          </x14:cfRule>
          <x14:cfRule type="expression" priority="109" id="{41BD0AEE-447A-BF42-AB81-DB7A3A666161}">
            <xm:f>OR(Maj!$C15="Rul 1")</xm:f>
            <x14:dxf>
              <font>
                <color theme="1"/>
              </font>
              <fill>
                <patternFill patternType="solid">
                  <bgColor theme="2"/>
                </patternFill>
              </fill>
            </x14:dxf>
          </x14:cfRule>
          <x14:cfRule type="expression" priority="110" id="{2DBA88E8-7E6B-2749-B8EA-7783BB507288}">
            <xm:f>OR(Maj!$C15="Rul 2")</xm:f>
            <x14:dxf>
              <font>
                <color theme="1"/>
              </font>
              <fill>
                <patternFill patternType="solid">
                  <bgColor theme="2" tint="-9.9948118533890809E-2"/>
                </patternFill>
              </fill>
            </x14:dxf>
          </x14:cfRule>
          <x14:cfRule type="expression" priority="111" id="{6BD0FA37-6A51-ED46-9FEE-8803D46D574F}">
            <xm:f>OR(Maj!$C15="Rul 3")</xm:f>
            <x14:dxf>
              <font>
                <color theme="1"/>
              </font>
              <fill>
                <patternFill patternType="solid">
                  <bgColor theme="2" tint="-0.24994659260841701"/>
                </patternFill>
              </fill>
            </x14:dxf>
          </x14:cfRule>
          <x14:cfRule type="expression" priority="112" id="{9D717E1B-28D3-564F-B271-23FC1385F67A}">
            <xm:f>OR(Maj!$C15="Rul 4")</xm:f>
            <x14:dxf>
              <font>
                <color theme="1"/>
              </font>
              <fill>
                <patternFill patternType="solid">
                  <bgColor theme="2" tint="-0.499984740745262"/>
                </patternFill>
              </fill>
            </x14:dxf>
          </x14:cfRule>
          <x14:cfRule type="expression" priority="113" id="{B5866902-4E2A-3245-BCB7-75827BA76426}">
            <xm:f>OR(Maj!$C15="Rul 5")</xm:f>
            <x14:dxf>
              <font>
                <color theme="0"/>
              </font>
              <fill>
                <patternFill patternType="solid">
                  <bgColor theme="2" tint="-0.749961851863155"/>
                </patternFill>
              </fill>
            </x14:dxf>
          </x14:cfRule>
          <x14:cfRule type="expression" priority="114" id="{CE8A1F1F-0EDA-8F46-9170-09B855ADE146}">
            <xm:f>OR(Maj!$C15="Rul 6")</xm:f>
            <x14:dxf>
              <font>
                <color theme="0"/>
              </font>
              <fill>
                <patternFill patternType="solid">
                  <bgColor theme="2" tint="-0.89996032593768116"/>
                </patternFill>
              </fill>
            </x14:dxf>
          </x14:cfRule>
          <x14:cfRule type="expression" priority="116" id="{A10FD60B-D983-7E49-8F29-E9E9CAD64219}">
            <xm:f>OR(Maj!$C15="Normal uge 1")</xm:f>
            <x14:dxf>
              <font>
                <color theme="1"/>
              </font>
              <fill>
                <patternFill patternType="solid">
                  <bgColor theme="4" tint="0.79998168889431442"/>
                </patternFill>
              </fill>
            </x14:dxf>
          </x14:cfRule>
          <x14:cfRule type="expression" priority="129" id="{2F162CE7-35A6-B446-A56C-2FACE873BED1}">
            <xm:f>OR(Maj!$C15="weekend")</xm:f>
            <x14:dxf>
              <font>
                <color theme="1"/>
              </font>
              <fill>
                <patternFill>
                  <bgColor theme="0" tint="-0.14996795556505021"/>
                </patternFill>
              </fill>
            </x14:dxf>
          </x14:cfRule>
          <x14:cfRule type="expression" priority="117" id="{4DD4CE7B-0F96-B642-890E-AB0A8F029045}">
            <xm:f>OR(Maj!$C15="Normal uge 2")</xm:f>
            <x14:dxf>
              <font>
                <color theme="1"/>
              </font>
              <fill>
                <patternFill patternType="solid">
                  <bgColor theme="4" tint="0.59996337778862885"/>
                </patternFill>
              </fill>
            </x14:dxf>
          </x14:cfRule>
          <x14:cfRule type="expression" priority="118" id="{A8D371E7-28B0-994B-97BE-BC46A50E8334}">
            <xm:f>OR(Maj!$C15="Normal uge 3")</xm:f>
            <x14:dxf>
              <font>
                <color theme="0"/>
              </font>
              <fill>
                <patternFill patternType="solid">
                  <bgColor theme="4" tint="0.39994506668294322"/>
                </patternFill>
              </fill>
            </x14:dxf>
          </x14:cfRule>
          <x14:cfRule type="expression" priority="119" id="{7D587508-3D65-A144-8D7B-32584C187BEC}">
            <xm:f>OR(Maj!$C15="Ikke relevant")</xm:f>
            <x14:dxf>
              <font>
                <color theme="0"/>
              </font>
              <fill>
                <patternFill>
                  <bgColor theme="1"/>
                </patternFill>
              </fill>
            </x14:dxf>
          </x14:cfRule>
          <x14:cfRule type="expression" priority="120" id="{5EF16FA7-8C71-EE48-87AD-BBD01B8D2BF6}">
            <xm:f>OR(Maj!$C15="Normal uge 4")</xm:f>
            <x14:dxf>
              <font>
                <color theme="0"/>
              </font>
              <fill>
                <patternFill patternType="solid">
                  <bgColor theme="4" tint="-0.24994659260841701"/>
                </patternFill>
              </fill>
            </x14:dxf>
          </x14:cfRule>
          <x14:cfRule type="expression" priority="121" id="{E9C3E1F0-84EC-074E-9BCB-60F6A8F8699D}">
            <xm:f>OR(Maj!$C15="pæd.dag")</xm:f>
            <x14:dxf>
              <font>
                <color theme="1"/>
              </font>
              <fill>
                <patternFill>
                  <bgColor theme="7" tint="0.39994506668294322"/>
                </patternFill>
              </fill>
            </x14:dxf>
          </x14:cfRule>
          <x14:cfRule type="expression" priority="122" id="{2FB6BE9B-204D-AC48-B05F-6582AE059407}">
            <xm:f>OR(Maj!$C15="SH-dag")</xm:f>
            <x14:dxf>
              <font>
                <color theme="1"/>
              </font>
              <fill>
                <patternFill>
                  <bgColor rgb="FFFF2F82"/>
                </patternFill>
              </fill>
            </x14:dxf>
          </x14:cfRule>
          <x14:cfRule type="expression" priority="123" id="{F81F56B5-4005-2C43-B1BB-3084D2F7F415}">
            <xm:f>OR(Maj!$C15="Nul-dag")</xm:f>
            <x14:dxf>
              <font>
                <color theme="1"/>
              </font>
              <fill>
                <patternFill>
                  <bgColor theme="5" tint="0.79998168889431442"/>
                </patternFill>
              </fill>
            </x14:dxf>
          </x14:cfRule>
          <x14:cfRule type="expression" priority="124" id="{E9B3ECE2-3CEE-554C-88E4-7E09B47B7D4D}">
            <xm:f>OR(Maj!$C15="ekskursion")</xm:f>
            <x14:dxf>
              <font>
                <color theme="1"/>
              </font>
              <fill>
                <patternFill>
                  <bgColor rgb="FFFFFF00"/>
                </patternFill>
              </fill>
            </x14:dxf>
          </x14:cfRule>
          <x14:cfRule type="expression" priority="125" id="{893283C8-D343-7E4A-8AEA-32156B737320}">
            <xm:f>OR(Maj!$C15="Koloni")</xm:f>
            <x14:dxf>
              <font>
                <color theme="1"/>
              </font>
              <fill>
                <patternFill>
                  <bgColor theme="8" tint="0.59996337778862885"/>
                </patternFill>
              </fill>
            </x14:dxf>
          </x14:cfRule>
          <x14:cfRule type="expression" priority="115" id="{F92D4C37-2F6B-6A4B-977E-5D3664516CB4}">
            <xm:f>OR(Maj!$C15="Orlov")</xm:f>
            <x14:dxf>
              <font>
                <color theme="0"/>
              </font>
              <fill>
                <patternFill patternType="solid">
                  <bgColor theme="6" tint="-0.24994659260841701"/>
                </patternFill>
              </fill>
            </x14:dxf>
          </x14:cfRule>
          <xm:sqref>AK3:AN33</xm:sqref>
        </x14:conditionalFormatting>
        <x14:conditionalFormatting xmlns:xm="http://schemas.microsoft.com/office/excel/2006/main">
          <x14:cfRule type="expression" priority="37" id="{BD70B354-DAB9-FA4F-895A-2E6D837F3BF4}">
            <xm:f>OR(Juni!$C15="pæd.dag")</xm:f>
            <x14:dxf>
              <font>
                <color theme="1"/>
              </font>
              <fill>
                <patternFill>
                  <bgColor theme="7" tint="0.39994506668294322"/>
                </patternFill>
              </fill>
            </x14:dxf>
          </x14:cfRule>
          <x14:cfRule type="expression" priority="36" id="{3C8F3904-BF45-8A4F-A6A0-5A3591E4D131}">
            <xm:f>OR(Juni!$C15="Normal uge 4")</xm:f>
            <x14:dxf>
              <font>
                <color theme="0"/>
              </font>
              <fill>
                <patternFill patternType="solid">
                  <bgColor theme="4" tint="-0.24994659260841701"/>
                </patternFill>
              </fill>
            </x14:dxf>
          </x14:cfRule>
          <x14:cfRule type="expression" priority="35" id="{A314315A-1BAE-5347-A1CB-8E311A9B5688}">
            <xm:f>OR(Juni!$C15="Ikke relevant")</xm:f>
            <x14:dxf>
              <font>
                <color theme="0"/>
              </font>
              <fill>
                <patternFill>
                  <bgColor theme="1"/>
                </patternFill>
              </fill>
            </x14:dxf>
          </x14:cfRule>
          <x14:cfRule type="expression" priority="34" id="{51F53384-F2A8-0C49-897A-C7CF4320CEA7}">
            <xm:f>OR(Juni!$C15="Normal uge 3")</xm:f>
            <x14:dxf>
              <font>
                <color theme="0"/>
              </font>
              <fill>
                <patternFill patternType="solid">
                  <bgColor theme="4" tint="0.39994506668294322"/>
                </patternFill>
              </fill>
            </x14:dxf>
          </x14:cfRule>
          <x14:cfRule type="expression" priority="33" id="{B4DB4CD1-1542-544A-9AE8-EFE5982B78F6}">
            <xm:f>OR(Juni!$C15="Normal uge 2")</xm:f>
            <x14:dxf>
              <font>
                <color theme="1"/>
              </font>
              <fill>
                <patternFill patternType="solid">
                  <bgColor theme="4" tint="0.59996337778862885"/>
                </patternFill>
              </fill>
            </x14:dxf>
          </x14:cfRule>
          <x14:cfRule type="expression" priority="32" id="{340B740D-A0C0-B245-84E6-972836E7F022}">
            <xm:f>OR(Juni!$C15="Normal uge 1")</xm:f>
            <x14:dxf>
              <font>
                <color theme="1"/>
              </font>
              <fill>
                <patternFill patternType="solid">
                  <bgColor theme="4" tint="0.79998168889431442"/>
                </patternFill>
              </fill>
            </x14:dxf>
          </x14:cfRule>
          <x14:cfRule type="expression" priority="31" id="{4380D4EC-7343-854A-AADB-74BA73C1E9C0}">
            <xm:f>OR(Juni!$C15="Orlov")</xm:f>
            <x14:dxf>
              <font>
                <color theme="0"/>
              </font>
              <fill>
                <patternFill patternType="solid">
                  <bgColor theme="6" tint="-0.24994659260841701"/>
                </patternFill>
              </fill>
            </x14:dxf>
          </x14:cfRule>
          <x14:cfRule type="expression" priority="30" id="{2FFA1341-8FCD-2242-B86F-133AFFFBEE25}">
            <xm:f>OR(Juni!$C15="Rul 6")</xm:f>
            <x14:dxf>
              <font>
                <color theme="0"/>
              </font>
              <fill>
                <patternFill patternType="solid">
                  <bgColor theme="2" tint="-0.89996032593768116"/>
                </patternFill>
              </fill>
            </x14:dxf>
          </x14:cfRule>
          <x14:cfRule type="expression" priority="29" id="{1EB8182C-4797-7043-9101-0FE7E35AE82F}">
            <xm:f>OR(Juni!$C15="Rul 5")</xm:f>
            <x14:dxf>
              <font>
                <color theme="0"/>
              </font>
              <fill>
                <patternFill patternType="solid">
                  <bgColor theme="2" tint="-0.749961851863155"/>
                </patternFill>
              </fill>
            </x14:dxf>
          </x14:cfRule>
          <x14:cfRule type="expression" priority="28" id="{2FE33D1D-CD9B-B048-B330-0E8D9251618B}">
            <xm:f>OR(Juni!$C15="Rul 4")</xm:f>
            <x14:dxf>
              <font>
                <color theme="1"/>
              </font>
              <fill>
                <patternFill patternType="solid">
                  <bgColor theme="2" tint="-0.499984740745262"/>
                </patternFill>
              </fill>
            </x14:dxf>
          </x14:cfRule>
          <x14:cfRule type="expression" priority="27" id="{8805A661-61EC-4B4D-80AD-F1F4EB1AFA6C}">
            <xm:f>OR(Juni!$C15="Rul 3")</xm:f>
            <x14:dxf>
              <font>
                <color theme="1"/>
              </font>
              <fill>
                <patternFill patternType="solid">
                  <bgColor theme="2" tint="-0.24994659260841701"/>
                </patternFill>
              </fill>
            </x14:dxf>
          </x14:cfRule>
          <x14:cfRule type="expression" priority="26" id="{C22133A6-9797-2545-BB9D-C33C1E22E86C}">
            <xm:f>OR(Juni!$C15="Rul 2")</xm:f>
            <x14:dxf>
              <font>
                <color theme="1"/>
              </font>
              <fill>
                <patternFill patternType="solid">
                  <bgColor theme="2" tint="-9.9948118533890809E-2"/>
                </patternFill>
              </fill>
            </x14:dxf>
          </x14:cfRule>
          <x14:cfRule type="expression" priority="25" id="{3FC8528C-D3BE-A048-BCCA-59065393E8A5}">
            <xm:f>OR(Juni!$C15="Rul 1")</xm:f>
            <x14:dxf>
              <font>
                <color theme="1"/>
              </font>
              <fill>
                <patternFill patternType="solid">
                  <bgColor theme="2"/>
                </patternFill>
              </fill>
            </x14:dxf>
          </x14:cfRule>
          <x14:cfRule type="expression" priority="4" stopIfTrue="1" id="{12EE752D-8F17-464B-B8D9-AB54EB3DE43D}">
            <xm:f>OR(Juni!$C15="Normal uge 5")</xm:f>
            <x14:dxf>
              <font>
                <color theme="0"/>
              </font>
              <fill>
                <patternFill patternType="solid">
                  <bgColor theme="9" tint="-0.24994659260841701"/>
                </patternFill>
              </fill>
            </x14:dxf>
          </x14:cfRule>
          <x14:cfRule type="expression" priority="3" stopIfTrue="1" id="{9BE667C7-DDFE-7C40-B51A-B8342C33F419}">
            <xm:f>OR(Juni!$C15="Normal uge 6")</xm:f>
            <x14:dxf>
              <font>
                <color theme="0"/>
              </font>
              <fill>
                <patternFill patternType="solid">
                  <bgColor theme="9" tint="-0.499984740745262"/>
                </patternFill>
              </fill>
            </x14:dxf>
          </x14:cfRule>
          <x14:cfRule type="expression" priority="45" id="{69600C6F-179D-CF4D-A4B3-8EBE50E8CCAB}">
            <xm:f>OR(Juni!$C15="weekend")</xm:f>
            <x14:dxf>
              <font>
                <color theme="1"/>
              </font>
              <fill>
                <patternFill>
                  <bgColor theme="0" tint="-0.14996795556505021"/>
                </patternFill>
              </fill>
            </x14:dxf>
          </x14:cfRule>
          <x14:cfRule type="expression" priority="44" id="{41FE3D25-02DA-E141-A740-4A94A9DF39BF}">
            <xm:f>OR(Juni!$C15="feriedag")</xm:f>
            <x14:dxf>
              <font>
                <color theme="1"/>
              </font>
              <fill>
                <patternFill>
                  <bgColor theme="6" tint="0.39994506668294322"/>
                </patternFill>
              </fill>
            </x14:dxf>
          </x14:cfRule>
          <x14:cfRule type="expression" priority="43" id="{A8594420-FC4D-F345-891C-6C0735EB6862}">
            <xm:f>OR(Juni!$C15="ferieåbning")</xm:f>
            <x14:dxf>
              <font>
                <color theme="1"/>
              </font>
              <fill>
                <patternFill>
                  <bgColor theme="9" tint="0.59996337778862885"/>
                </patternFill>
              </fill>
            </x14:dxf>
          </x14:cfRule>
          <x14:cfRule type="expression" priority="42" id="{CE837C34-F690-9840-B527-AEEB4A03D8B5}">
            <xm:f>OR(Juni!$C15="Anderledes dag")</xm:f>
            <x14:dxf>
              <font>
                <color theme="1"/>
              </font>
              <fill>
                <patternFill>
                  <bgColor theme="5" tint="0.59996337778862885"/>
                </patternFill>
              </fill>
            </x14:dxf>
          </x14:cfRule>
          <x14:cfRule type="expression" priority="41" id="{835FD02F-145E-9B4F-BCC7-036F9D98C367}">
            <xm:f>OR(Juni!$C15="Koloni")</xm:f>
            <x14:dxf>
              <font>
                <color theme="1"/>
              </font>
              <fill>
                <patternFill>
                  <bgColor theme="8" tint="0.59996337778862885"/>
                </patternFill>
              </fill>
            </x14:dxf>
          </x14:cfRule>
          <x14:cfRule type="expression" priority="40" id="{26868BF9-DE45-A44C-A299-911244F53C78}">
            <xm:f>OR(Juni!$C15="ekskursion")</xm:f>
            <x14:dxf>
              <font>
                <color theme="1"/>
              </font>
              <fill>
                <patternFill>
                  <bgColor rgb="FFFFFF00"/>
                </patternFill>
              </fill>
            </x14:dxf>
          </x14:cfRule>
          <x14:cfRule type="expression" priority="39" id="{1589090A-B8B9-F248-B89E-955B50AC6DE0}">
            <xm:f>OR(Juni!$C15="Nul-dag")</xm:f>
            <x14:dxf>
              <font>
                <color theme="1"/>
              </font>
              <fill>
                <patternFill>
                  <bgColor theme="5" tint="0.79998168889431442"/>
                </patternFill>
              </fill>
            </x14:dxf>
          </x14:cfRule>
          <x14:cfRule type="expression" priority="38" id="{9D7B298B-3721-2A43-8EF8-E11E9A18B795}">
            <xm:f>OR(Juni!$C15="SH-dag")</xm:f>
            <x14:dxf>
              <font>
                <color theme="1"/>
              </font>
              <fill>
                <patternFill>
                  <bgColor rgb="FFFF2F82"/>
                </patternFill>
              </fill>
            </x14:dxf>
          </x14:cfRule>
          <xm:sqref>AO3:AR32</xm:sqref>
        </x14:conditionalFormatting>
        <x14:conditionalFormatting xmlns:xm="http://schemas.microsoft.com/office/excel/2006/main">
          <x14:cfRule type="expression" priority="92" id="{FEA7EED4-7CD7-4A43-A8AD-8D2CA2AC4314}">
            <xm:f>OR(Juli!$C15="Rul 5")</xm:f>
            <x14:dxf>
              <font>
                <color theme="0"/>
              </font>
              <fill>
                <patternFill patternType="solid">
                  <bgColor theme="2" tint="-0.749961851863155"/>
                </patternFill>
              </fill>
            </x14:dxf>
          </x14:cfRule>
          <x14:cfRule type="expression" priority="88" id="{58715F75-4B9F-F540-A0BE-A2A601D027C4}">
            <xm:f>OR(Juli!$C15="Rul 1")</xm:f>
            <x14:dxf>
              <font>
                <color theme="1"/>
              </font>
              <fill>
                <patternFill patternType="solid">
                  <bgColor theme="2"/>
                </patternFill>
              </fill>
            </x14:dxf>
          </x14:cfRule>
          <x14:cfRule type="expression" priority="89" id="{0A920217-D85B-004F-9BB4-D8182E483249}">
            <xm:f>OR(Juli!$C15="Rul 2")</xm:f>
            <x14:dxf>
              <font>
                <color theme="1"/>
              </font>
              <fill>
                <patternFill patternType="solid">
                  <bgColor theme="2" tint="-9.9948118533890809E-2"/>
                </patternFill>
              </fill>
            </x14:dxf>
          </x14:cfRule>
          <x14:cfRule type="expression" priority="90" id="{83A9C1A4-4AAC-9A49-8BF1-7E478F54C2CB}">
            <xm:f>OR(Juli!$C15="Rul 3")</xm:f>
            <x14:dxf>
              <font>
                <color theme="1"/>
              </font>
              <fill>
                <patternFill patternType="solid">
                  <bgColor theme="2" tint="-0.24994659260841701"/>
                </patternFill>
              </fill>
            </x14:dxf>
          </x14:cfRule>
          <x14:cfRule type="expression" priority="91" id="{3A949806-C649-8E4D-9367-7051CEB112CD}">
            <xm:f>OR(Juli!$C15="Rul 4")</xm:f>
            <x14:dxf>
              <font>
                <color theme="1"/>
              </font>
              <fill>
                <patternFill patternType="solid">
                  <bgColor theme="2" tint="-0.499984740745262"/>
                </patternFill>
              </fill>
            </x14:dxf>
          </x14:cfRule>
          <x14:cfRule type="expression" priority="93" id="{D940FE81-2D1D-FD44-A560-0158384BDC0F}">
            <xm:f>OR(Juli!$C15="Rul 6")</xm:f>
            <x14:dxf>
              <font>
                <color theme="0"/>
              </font>
              <fill>
                <patternFill patternType="solid">
                  <bgColor theme="2" tint="-0.89996032593768116"/>
                </patternFill>
              </fill>
            </x14:dxf>
          </x14:cfRule>
          <x14:cfRule type="expression" priority="94" id="{AD0FE727-603F-B043-AAC9-B51B49277214}">
            <xm:f>OR(Juli!$C15="Orlov")</xm:f>
            <x14:dxf>
              <font>
                <color theme="0"/>
              </font>
              <fill>
                <patternFill patternType="solid">
                  <bgColor theme="6" tint="-0.24994659260841701"/>
                </patternFill>
              </fill>
            </x14:dxf>
          </x14:cfRule>
          <x14:cfRule type="expression" priority="95" id="{9D0BC8BD-3CBF-AF49-873D-28C5303B0391}">
            <xm:f>OR(Juli!$C15="Normal uge 1")</xm:f>
            <x14:dxf>
              <font>
                <color theme="1"/>
              </font>
              <fill>
                <patternFill patternType="solid">
                  <bgColor theme="4" tint="0.79998168889431442"/>
                </patternFill>
              </fill>
            </x14:dxf>
          </x14:cfRule>
          <x14:cfRule type="expression" priority="96" id="{1B3C92C7-6209-CE42-83F2-A8A9F23F066F}">
            <xm:f>OR(Juli!$C15="Normal uge 2")</xm:f>
            <x14:dxf>
              <font>
                <color theme="1"/>
              </font>
              <fill>
                <patternFill patternType="solid">
                  <bgColor theme="4" tint="0.59996337778862885"/>
                </patternFill>
              </fill>
            </x14:dxf>
          </x14:cfRule>
          <x14:cfRule type="expression" priority="97" id="{0DA77E16-6EF3-904E-BA17-58E9F96083AF}">
            <xm:f>OR(Juli!$C15="Normal uge 3")</xm:f>
            <x14:dxf>
              <font>
                <color theme="0"/>
              </font>
              <fill>
                <patternFill patternType="solid">
                  <bgColor theme="4" tint="0.39994506668294322"/>
                </patternFill>
              </fill>
            </x14:dxf>
          </x14:cfRule>
          <x14:cfRule type="expression" priority="98" id="{17999FBA-63CB-6241-8C09-4EEC2E83F9E1}">
            <xm:f>OR(Juli!$C15="Ikke relevant")</xm:f>
            <x14:dxf>
              <font>
                <color theme="0"/>
              </font>
              <fill>
                <patternFill>
                  <bgColor theme="1"/>
                </patternFill>
              </fill>
            </x14:dxf>
          </x14:cfRule>
          <x14:cfRule type="expression" priority="99" id="{5E904EE4-F00F-3842-873B-CFE325E8A4DE}">
            <xm:f>OR(Juli!$C15="Normal uge 4")</xm:f>
            <x14:dxf>
              <font>
                <color theme="0"/>
              </font>
              <fill>
                <patternFill patternType="solid">
                  <bgColor theme="4" tint="-0.24994659260841701"/>
                </patternFill>
              </fill>
            </x14:dxf>
          </x14:cfRule>
          <x14:cfRule type="expression" priority="100" id="{9DFE345D-6A52-CE41-9A37-C40C0FC7A358}">
            <xm:f>OR(Juli!$C15="pæd.dag")</xm:f>
            <x14:dxf>
              <font>
                <color theme="1"/>
              </font>
              <fill>
                <patternFill>
                  <bgColor theme="7" tint="0.39994506668294322"/>
                </patternFill>
              </fill>
            </x14:dxf>
          </x14:cfRule>
          <x14:cfRule type="expression" priority="101" id="{FCAA6EC3-19FA-1F41-B32E-73C1481C87DB}">
            <xm:f>OR(Juli!$C15="SH-dag")</xm:f>
            <x14:dxf>
              <font>
                <color theme="1"/>
              </font>
              <fill>
                <patternFill>
                  <bgColor rgb="FFFF2F82"/>
                </patternFill>
              </fill>
            </x14:dxf>
          </x14:cfRule>
          <x14:cfRule type="expression" priority="102" id="{52AA8651-C6B0-1B41-A26A-9C7A956C6791}">
            <xm:f>OR(Juli!$C15="Nul-dag")</xm:f>
            <x14:dxf>
              <font>
                <color theme="1"/>
              </font>
              <fill>
                <patternFill>
                  <bgColor theme="5" tint="0.79998168889431442"/>
                </patternFill>
              </fill>
            </x14:dxf>
          </x14:cfRule>
          <x14:cfRule type="expression" priority="103" id="{61572A1C-3F68-6245-B89B-680E57C9B108}">
            <xm:f>OR(Juli!$C15="ekskursion")</xm:f>
            <x14:dxf>
              <font>
                <color theme="1"/>
              </font>
              <fill>
                <patternFill>
                  <bgColor rgb="FFFFFF00"/>
                </patternFill>
              </fill>
            </x14:dxf>
          </x14:cfRule>
          <x14:cfRule type="expression" priority="104" id="{09A9A83E-5478-BC4D-B29D-3AB2717E776F}">
            <xm:f>OR(Juli!$C15="Koloni")</xm:f>
            <x14:dxf>
              <font>
                <color theme="1"/>
              </font>
              <fill>
                <patternFill>
                  <bgColor theme="8" tint="0.59996337778862885"/>
                </patternFill>
              </fill>
            </x14:dxf>
          </x14:cfRule>
          <x14:cfRule type="expression" priority="105" id="{024A8AF6-6207-674A-9E24-99D39B5D44C0}">
            <xm:f>OR(Juli!$C15="Anderledes dag")</xm:f>
            <x14:dxf>
              <font>
                <color theme="1"/>
              </font>
              <fill>
                <patternFill>
                  <bgColor theme="5" tint="0.59996337778862885"/>
                </patternFill>
              </fill>
            </x14:dxf>
          </x14:cfRule>
          <x14:cfRule type="expression" priority="106" id="{E11B54C8-6D81-3D45-B92D-3A542CB18B43}">
            <xm:f>OR(Juli!$C15="ferieåbning")</xm:f>
            <x14:dxf>
              <font>
                <color theme="1"/>
              </font>
              <fill>
                <patternFill>
                  <bgColor theme="9" tint="0.59996337778862885"/>
                </patternFill>
              </fill>
            </x14:dxf>
          </x14:cfRule>
          <x14:cfRule type="expression" priority="107" id="{BB5E066A-9574-614F-96CA-7E910C6D0A80}">
            <xm:f>OR(Juli!$C15="feriedag")</xm:f>
            <x14:dxf>
              <font>
                <color theme="1"/>
              </font>
              <fill>
                <patternFill>
                  <bgColor theme="6" tint="0.39994506668294322"/>
                </patternFill>
              </fill>
            </x14:dxf>
          </x14:cfRule>
          <x14:cfRule type="expression" priority="108" id="{441CE66B-8783-F447-919C-401BF05E2E7E}">
            <xm:f>OR(Juli!$C15="weekend")</xm:f>
            <x14:dxf>
              <font>
                <color theme="1"/>
              </font>
              <fill>
                <patternFill>
                  <bgColor theme="0" tint="-0.14996795556505021"/>
                </patternFill>
              </fill>
            </x14:dxf>
          </x14:cfRule>
          <x14:cfRule type="expression" priority="2" id="{C71662CD-F090-774D-BC4F-3098ABF2D6AD}">
            <xm:f>OR(Juli!$C15="Normal uge 5")</xm:f>
            <x14:dxf>
              <font>
                <color theme="0"/>
              </font>
              <fill>
                <patternFill patternType="solid">
                  <bgColor theme="9" tint="-0.24994659260841701"/>
                </patternFill>
              </fill>
            </x14:dxf>
          </x14:cfRule>
          <x14:cfRule type="expression" priority="1" stopIfTrue="1" id="{8F2B5D89-3655-704A-9EFC-3FE0CBD21389}">
            <xm:f>OR(Juli!$C15="Normal uge 6")</xm:f>
            <x14:dxf>
              <font>
                <color theme="0"/>
              </font>
              <fill>
                <patternFill patternType="solid">
                  <bgColor theme="9" tint="-0.499984740745262"/>
                </patternFill>
              </fill>
            </x14:dxf>
          </x14:cfRule>
          <xm:sqref>AS3:AV33</xm:sqref>
        </x14:conditionalFormatting>
      </x14:conditionalFormattings>
    </ex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4" type="noConversion"/>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149" t="e">
        <f>_xlfn.SINGLE(Arbejdstidsoversigt!#REF!)</f>
        <v>#REF!</v>
      </c>
      <c r="D2" s="1063"/>
      <c r="E2" s="1064"/>
    </row>
    <row r="3" spans="2:8">
      <c r="B3" s="2" t="s">
        <v>2</v>
      </c>
      <c r="C3" s="1150" t="e">
        <f>_xlfn.SINGLE(Arbejdstidsoversigt!#REF!)</f>
        <v>#REF!</v>
      </c>
      <c r="D3" s="1150"/>
      <c r="E3" s="1150"/>
    </row>
    <row r="4" spans="2:8">
      <c r="B4" s="2" t="s">
        <v>3</v>
      </c>
      <c r="C4" s="1150" t="e">
        <f>Arbejdstidsoversigt!#REF!</f>
        <v>#REF!</v>
      </c>
      <c r="D4" s="1150"/>
      <c r="E4" s="1150"/>
    </row>
    <row r="5" spans="2:8" ht="34" customHeight="1">
      <c r="B5" s="1151" t="s">
        <v>22</v>
      </c>
      <c r="C5" s="1151"/>
      <c r="D5" s="1151"/>
      <c r="E5" s="1151"/>
    </row>
    <row r="6" spans="2:8" ht="15" customHeight="1">
      <c r="B6" s="3"/>
      <c r="C6" s="3"/>
      <c r="D6" s="3"/>
      <c r="E6" s="3"/>
    </row>
    <row r="7" spans="2:8" ht="21">
      <c r="B7" s="5" t="s">
        <v>0</v>
      </c>
    </row>
    <row r="8" spans="2:8" ht="31">
      <c r="B8" s="1156" t="s">
        <v>45</v>
      </c>
      <c r="C8" s="1157"/>
      <c r="D8" s="1157"/>
      <c r="E8" s="1157"/>
      <c r="F8" s="1157"/>
      <c r="G8" s="1157"/>
      <c r="H8" s="1158"/>
    </row>
    <row r="9" spans="2:8" ht="15" customHeight="1">
      <c r="B9" s="1159" t="s">
        <v>49</v>
      </c>
      <c r="C9" s="814"/>
      <c r="D9" s="814"/>
      <c r="E9" s="814"/>
      <c r="F9" s="814"/>
      <c r="G9" s="814"/>
      <c r="H9" s="1160"/>
    </row>
    <row r="10" spans="2:8" ht="34">
      <c r="B10" s="24" t="s">
        <v>29</v>
      </c>
      <c r="C10" s="25" t="s">
        <v>30</v>
      </c>
      <c r="D10" s="26" t="s">
        <v>31</v>
      </c>
      <c r="E10" s="26" t="s">
        <v>32</v>
      </c>
      <c r="F10" s="26" t="s">
        <v>33</v>
      </c>
      <c r="G10" s="26" t="s">
        <v>34</v>
      </c>
      <c r="H10" s="26" t="s">
        <v>35</v>
      </c>
    </row>
    <row r="11" spans="2:8" ht="15" customHeight="1">
      <c r="B11" s="23">
        <v>1</v>
      </c>
      <c r="C11" s="27">
        <v>15</v>
      </c>
      <c r="D11" s="27" t="s">
        <v>40</v>
      </c>
      <c r="E11" s="29"/>
      <c r="F11" s="29" t="s">
        <v>40</v>
      </c>
      <c r="G11" s="29"/>
      <c r="H11" s="27" t="s">
        <v>40</v>
      </c>
    </row>
    <row r="12" spans="2:8" ht="15" customHeight="1">
      <c r="B12" s="23">
        <v>2</v>
      </c>
      <c r="C12" s="27">
        <v>60</v>
      </c>
      <c r="D12" s="27" t="s">
        <v>6</v>
      </c>
      <c r="E12" s="29" t="s">
        <v>5</v>
      </c>
      <c r="F12" s="29" t="s">
        <v>8</v>
      </c>
      <c r="G12" s="29" t="s">
        <v>38</v>
      </c>
      <c r="H12" s="29" t="s">
        <v>42</v>
      </c>
    </row>
    <row r="13" spans="2:8" ht="15" customHeight="1">
      <c r="B13" s="23">
        <v>3</v>
      </c>
      <c r="C13" s="27">
        <v>60</v>
      </c>
      <c r="D13" s="27" t="s">
        <v>36</v>
      </c>
      <c r="E13" s="29" t="s">
        <v>6</v>
      </c>
      <c r="F13" s="29" t="s">
        <v>5</v>
      </c>
      <c r="G13" s="29" t="s">
        <v>38</v>
      </c>
      <c r="H13" s="29" t="s">
        <v>7</v>
      </c>
    </row>
    <row r="14" spans="2:8" ht="15" customHeight="1">
      <c r="B14" s="23">
        <v>4</v>
      </c>
      <c r="C14" s="27">
        <v>60</v>
      </c>
      <c r="D14" s="27" t="s">
        <v>8</v>
      </c>
      <c r="E14" s="29" t="s">
        <v>6</v>
      </c>
      <c r="F14" s="29" t="s">
        <v>5</v>
      </c>
      <c r="G14" s="29" t="s">
        <v>5</v>
      </c>
      <c r="H14" s="29" t="s">
        <v>7</v>
      </c>
    </row>
    <row r="15" spans="2:8" ht="15" customHeight="1">
      <c r="B15" s="23">
        <v>5</v>
      </c>
      <c r="C15" s="27">
        <v>45</v>
      </c>
      <c r="D15" s="27"/>
      <c r="E15" s="29" t="s">
        <v>39</v>
      </c>
      <c r="F15" s="29" t="s">
        <v>41</v>
      </c>
      <c r="G15" s="29"/>
      <c r="H15" s="29" t="s">
        <v>5</v>
      </c>
    </row>
    <row r="16" spans="2:8" ht="15" customHeight="1">
      <c r="B16" s="30">
        <v>6</v>
      </c>
      <c r="C16" s="27">
        <v>45</v>
      </c>
      <c r="D16" s="29" t="s">
        <v>37</v>
      </c>
      <c r="E16" s="29" t="s">
        <v>39</v>
      </c>
      <c r="F16" s="29" t="s">
        <v>41</v>
      </c>
      <c r="G16" s="29"/>
      <c r="H16" s="27"/>
    </row>
    <row r="17" spans="1:8" ht="15" customHeight="1">
      <c r="B17" s="30">
        <v>7</v>
      </c>
      <c r="C17" s="27">
        <v>45</v>
      </c>
      <c r="D17" s="29" t="s">
        <v>37</v>
      </c>
      <c r="E17" s="29"/>
      <c r="F17" s="29"/>
      <c r="G17" s="29"/>
      <c r="H17" s="27"/>
    </row>
    <row r="18" spans="1:8" ht="15" customHeight="1">
      <c r="B18" s="30">
        <v>8</v>
      </c>
      <c r="C18" s="27">
        <v>45</v>
      </c>
      <c r="D18" s="29"/>
      <c r="E18" s="29"/>
      <c r="F18" s="29"/>
      <c r="G18" s="29"/>
      <c r="H18" s="28"/>
    </row>
    <row r="19" spans="1:8" ht="15" customHeight="1">
      <c r="B19" s="1161" t="s">
        <v>52</v>
      </c>
      <c r="C19" s="1162"/>
      <c r="D19" s="29">
        <v>38</v>
      </c>
      <c r="E19" s="29">
        <v>40</v>
      </c>
      <c r="F19" s="29">
        <v>39</v>
      </c>
      <c r="G19" s="29">
        <v>39</v>
      </c>
      <c r="H19" s="29">
        <v>38</v>
      </c>
    </row>
    <row r="20" spans="1:8" ht="15" customHeight="1">
      <c r="B20" s="736" t="s">
        <v>54</v>
      </c>
      <c r="C20" s="738"/>
      <c r="D20" s="26" t="e">
        <f>(IF(D11&lt;&gt;0,D19*$C$24)+IF(D12&lt;&gt;0,$C$25*D19)+IF(D13&lt;&gt;0,D19*$C$26)+IF(D14&lt;&gt;0,D19*$C$27)+IF(D15&lt;&gt;0,D19*$C$28)+IF(D16&lt;&gt;0,D19*$C$29)+IF(D17&lt;&gt;0,D19*$C$30)+IF(D18&lt;&gt;0,D19*$C$31))/60</f>
        <v>#VALUE!</v>
      </c>
      <c r="E20" s="26" t="e">
        <f>(IF(E11&lt;&gt;0,E19*$C$24)+IF(E12&lt;&gt;0,$C$25*E19)+IF(E13&lt;&gt;0,E19*$C$26)+IF(E14&lt;&gt;0,E19*$C$27)+IF(E15&lt;&gt;0,E19*$C$28)+IF(E16&lt;&gt;0,E19*$C$29)+IF(E17&lt;&gt;0,E19*$C$30)+IF(E18&lt;&gt;0,E19*$C$31))/60</f>
        <v>#VALUE!</v>
      </c>
      <c r="F20" s="26" t="e">
        <f>(IF(F11&lt;&gt;0,F19*$C$24)+IF(F12&lt;&gt;0,$C$25*F19)+IF(F13&lt;&gt;0,F19*$C$26)+IF(F14&lt;&gt;0,F19*$C$27)+IF(F15&lt;&gt;0,F19*$C$28)+IF(F16&lt;&gt;0,F19*$C$29)+IF(F17&lt;&gt;0,F19*$C$30)+IF(F18&lt;&gt;0,F19*$C$31))/60</f>
        <v>#VALUE!</v>
      </c>
      <c r="G20" s="26" t="e">
        <f>(IF(G11&lt;&gt;0,G19*$C$24)+IF(G12&lt;&gt;0,$C$25*G19)+IF(G13&lt;&gt;0,G19*$C$26)+IF(G14&lt;&gt;0,G19*$C$27)+IF(G15&lt;&gt;0,G19*$C$28)+IF(G16&lt;&gt;0,G19*$C$29)+IF(G17&lt;&gt;0,G19*$C$30)+IF(G18&lt;&gt;0,G19*$C$31))/60</f>
        <v>#VALUE!</v>
      </c>
      <c r="H20" s="26" t="e">
        <f>(IF(H11&lt;&gt;0,H19*$C$24)+IF(H12&lt;&gt;0,$C$25*H19)+IF(H13&lt;&gt;0,H19*$C$26)+IF(H14&lt;&gt;0,H19*$C$27)+IF(H15&lt;&gt;0,H19*$C$28)+IF(H16&lt;&gt;0,H19*$C$29)+IF(H17&lt;&gt;0,H19*$C$30)+IF(H18&lt;&gt;0,H19*$C$31))/60</f>
        <v>#VALUE!</v>
      </c>
    </row>
    <row r="21" spans="1:8" ht="15" customHeight="1">
      <c r="B21" s="1163" t="s">
        <v>51</v>
      </c>
      <c r="C21" s="1166" t="s">
        <v>43</v>
      </c>
      <c r="D21" s="841"/>
      <c r="E21" s="841"/>
      <c r="F21" s="841"/>
      <c r="G21" s="1167"/>
      <c r="H21" s="26" t="e">
        <f>SUM(D20:H20)</f>
        <v>#VALUE!</v>
      </c>
    </row>
    <row r="22" spans="1:8" ht="15" customHeight="1">
      <c r="B22" s="1164"/>
      <c r="C22" s="1168" t="s">
        <v>46</v>
      </c>
      <c r="D22" s="1169"/>
      <c r="E22" s="1169"/>
      <c r="F22" s="1169"/>
      <c r="G22" s="1170"/>
      <c r="H22" s="29">
        <v>32</v>
      </c>
    </row>
    <row r="23" spans="1:8" ht="15" customHeight="1">
      <c r="B23" s="1164"/>
      <c r="C23" s="1168" t="s">
        <v>47</v>
      </c>
      <c r="D23" s="1169"/>
      <c r="E23" s="1169"/>
      <c r="F23" s="1169"/>
      <c r="G23" s="1170"/>
      <c r="H23" s="29">
        <v>12</v>
      </c>
    </row>
    <row r="24" spans="1:8" ht="15" customHeight="1">
      <c r="A24" s="1148"/>
      <c r="B24" s="1164"/>
      <c r="C24" s="1168" t="s">
        <v>48</v>
      </c>
      <c r="D24" s="1169"/>
      <c r="E24" s="1169"/>
      <c r="F24" s="1169"/>
      <c r="G24" s="1170"/>
      <c r="H24" s="29">
        <v>65</v>
      </c>
    </row>
    <row r="25" spans="1:8" ht="15" customHeight="1">
      <c r="A25" s="1148"/>
      <c r="B25" s="1165"/>
      <c r="C25" s="1166" t="s">
        <v>44</v>
      </c>
      <c r="D25" s="841"/>
      <c r="E25" s="841"/>
      <c r="F25" s="841"/>
      <c r="G25" s="1167"/>
      <c r="H25" s="26" t="e">
        <f>SUM(H21:H24)</f>
        <v>#VALUE!</v>
      </c>
    </row>
    <row r="26" spans="1:8">
      <c r="A26" s="1148"/>
      <c r="B26" s="13" t="s">
        <v>11</v>
      </c>
      <c r="C26" s="14">
        <v>5</v>
      </c>
      <c r="D26" s="14">
        <v>8</v>
      </c>
      <c r="E26" s="17">
        <f>D26*C26</f>
        <v>40</v>
      </c>
    </row>
    <row r="27" spans="1:8" ht="17" thickBot="1">
      <c r="A27" s="1148"/>
      <c r="B27" s="19"/>
      <c r="C27" s="20"/>
      <c r="D27" s="20"/>
      <c r="E27" s="21"/>
    </row>
    <row r="28" spans="1:8" ht="17" thickBot="1">
      <c r="A28" s="1148"/>
    </row>
    <row r="29" spans="1:8" ht="17" thickBot="1">
      <c r="B29" s="10" t="s">
        <v>10</v>
      </c>
      <c r="C29" s="11" t="s">
        <v>9</v>
      </c>
      <c r="D29" s="11" t="s">
        <v>12</v>
      </c>
      <c r="E29" s="12" t="s">
        <v>13</v>
      </c>
    </row>
    <row r="30" spans="1:8">
      <c r="B30" s="13" t="s">
        <v>21</v>
      </c>
      <c r="C30" s="14">
        <v>1</v>
      </c>
      <c r="D30" s="14">
        <v>7</v>
      </c>
      <c r="E30" s="17">
        <f>D30*C30</f>
        <v>7</v>
      </c>
    </row>
    <row r="31" spans="1:8">
      <c r="B31" s="15" t="s">
        <v>16</v>
      </c>
      <c r="C31" s="16">
        <v>1</v>
      </c>
      <c r="D31" s="16">
        <v>8</v>
      </c>
      <c r="E31" s="17">
        <f>D31*C31</f>
        <v>8</v>
      </c>
    </row>
    <row r="32" spans="1:8" ht="17" thickBot="1">
      <c r="B32" s="19"/>
      <c r="C32" s="20"/>
      <c r="D32" s="20"/>
      <c r="E32" s="22">
        <f>D32*C32</f>
        <v>0</v>
      </c>
    </row>
    <row r="33" spans="1:5" ht="17" thickBot="1">
      <c r="B33" s="7" t="s">
        <v>19</v>
      </c>
      <c r="C33" s="8"/>
      <c r="D33" s="8"/>
      <c r="E33" s="9" t="e">
        <f>SUM(E10:E32)</f>
        <v>#VALUE!</v>
      </c>
    </row>
    <row r="35" spans="1:5" ht="22" thickBot="1">
      <c r="A35" s="1148"/>
      <c r="B35" s="6" t="s">
        <v>14</v>
      </c>
    </row>
    <row r="36" spans="1:5" ht="17" thickBot="1">
      <c r="A36" s="1148"/>
      <c r="B36" s="1173" t="s">
        <v>14</v>
      </c>
      <c r="C36" s="1174"/>
      <c r="D36" s="12" t="s">
        <v>18</v>
      </c>
    </row>
    <row r="37" spans="1:5">
      <c r="A37" s="1148"/>
      <c r="B37" s="1152" t="s">
        <v>15</v>
      </c>
      <c r="C37" s="1153"/>
      <c r="D37" s="17"/>
      <c r="E37" s="4"/>
    </row>
    <row r="38" spans="1:5">
      <c r="A38" s="1148"/>
      <c r="B38" s="1154" t="s">
        <v>17</v>
      </c>
      <c r="C38" s="1155"/>
      <c r="D38" s="18"/>
      <c r="E38" s="4"/>
    </row>
    <row r="39" spans="1:5">
      <c r="B39" s="1154" t="s">
        <v>20</v>
      </c>
      <c r="C39" s="1155"/>
      <c r="D39" s="18"/>
      <c r="E39" s="4"/>
    </row>
    <row r="40" spans="1:5">
      <c r="B40" s="1154"/>
      <c r="C40" s="1155"/>
      <c r="D40" s="18"/>
      <c r="E40" s="4"/>
    </row>
    <row r="41" spans="1:5">
      <c r="B41" s="1154"/>
      <c r="C41" s="1155"/>
      <c r="D41" s="18"/>
      <c r="E41" s="4"/>
    </row>
    <row r="42" spans="1:5">
      <c r="B42" s="1154"/>
      <c r="C42" s="1155"/>
      <c r="D42" s="18"/>
      <c r="E42" s="4"/>
    </row>
    <row r="43" spans="1:5">
      <c r="B43" s="1154"/>
      <c r="C43" s="1155"/>
      <c r="D43" s="18"/>
      <c r="E43" s="4"/>
    </row>
    <row r="44" spans="1:5">
      <c r="B44" s="1154"/>
      <c r="C44" s="1155"/>
      <c r="D44" s="18"/>
      <c r="E44" s="4"/>
    </row>
    <row r="45" spans="1:5">
      <c r="B45" s="1154"/>
      <c r="C45" s="1155"/>
      <c r="D45" s="18"/>
      <c r="E45" s="4"/>
    </row>
    <row r="46" spans="1:5">
      <c r="B46" s="1154"/>
      <c r="C46" s="1155"/>
      <c r="D46" s="18"/>
      <c r="E46" s="4"/>
    </row>
    <row r="47" spans="1:5">
      <c r="B47" s="1154"/>
      <c r="C47" s="1155"/>
      <c r="D47" s="18"/>
      <c r="E47" s="4"/>
    </row>
    <row r="48" spans="1:5">
      <c r="B48" s="1154"/>
      <c r="C48" s="1155"/>
      <c r="D48" s="18"/>
      <c r="E48" s="4"/>
    </row>
    <row r="49" spans="2:5">
      <c r="B49" s="1154"/>
      <c r="C49" s="1155"/>
      <c r="D49" s="18"/>
      <c r="E49" s="4"/>
    </row>
    <row r="50" spans="2:5">
      <c r="B50" s="1154"/>
      <c r="C50" s="1155"/>
      <c r="D50" s="18"/>
      <c r="E50" s="4"/>
    </row>
    <row r="51" spans="2:5" ht="17" thickBot="1">
      <c r="B51" s="1171"/>
      <c r="C51" s="1172"/>
      <c r="D51" s="21"/>
      <c r="E51" s="4"/>
    </row>
  </sheetData>
  <mergeCells count="32">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s>
  <phoneticPr fontId="4"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36"/>
  <sheetViews>
    <sheetView showGridLines="0" showZeros="0" zoomScale="80" zoomScaleNormal="80" zoomScalePageLayoutView="80" workbookViewId="0">
      <selection activeCell="I13" sqref="I13"/>
    </sheetView>
  </sheetViews>
  <sheetFormatPr baseColWidth="10" defaultRowHeight="36" customHeight="1"/>
  <cols>
    <col min="1" max="2" width="4.33203125" style="48" customWidth="1"/>
    <col min="3" max="3" width="8.33203125" style="49" customWidth="1"/>
    <col min="4" max="4" width="20.1640625" style="49" customWidth="1"/>
    <col min="5" max="5" width="4" style="47" customWidth="1"/>
    <col min="6" max="7" width="4.33203125" style="48" customWidth="1"/>
    <col min="8" max="8" width="8.33203125" style="49" customWidth="1"/>
    <col min="9" max="9" width="20.1640625" style="49" customWidth="1"/>
    <col min="10" max="10" width="4" style="47" customWidth="1"/>
    <col min="11" max="12" width="4.33203125" style="48" customWidth="1"/>
    <col min="13" max="13" width="8.5" style="49" customWidth="1"/>
    <col min="14" max="14" width="20.1640625" style="49" customWidth="1"/>
    <col min="15" max="15" width="4" style="47" customWidth="1"/>
    <col min="16" max="17" width="4.33203125" style="48" customWidth="1"/>
    <col min="18" max="18" width="8.5" style="49" customWidth="1"/>
    <col min="19" max="19" width="20.1640625" style="49" customWidth="1"/>
    <col min="20" max="20" width="3.5" style="47" customWidth="1"/>
    <col min="21" max="21" width="5.6640625" style="48" customWidth="1"/>
    <col min="22" max="22" width="4.33203125" style="48" customWidth="1"/>
    <col min="23" max="23" width="8.33203125" style="49" customWidth="1"/>
    <col min="24" max="24" width="20.33203125" style="49" customWidth="1"/>
    <col min="25" max="25" width="4" style="47" customWidth="1"/>
    <col min="26" max="27" width="4.33203125" style="48" customWidth="1"/>
    <col min="28" max="28" width="8.5" style="49" customWidth="1"/>
    <col min="29" max="29" width="20.33203125" style="49" customWidth="1"/>
    <col min="30" max="30" width="3.1640625" style="47" customWidth="1"/>
    <col min="31" max="34" width="10.83203125" style="37"/>
    <col min="35" max="35" width="26.6640625" style="37" customWidth="1"/>
    <col min="36" max="16384" width="10.83203125" style="37"/>
  </cols>
  <sheetData>
    <row r="1" spans="1:30" s="35" customFormat="1" ht="36" customHeight="1">
      <c r="A1" s="347" t="str">
        <f>"Halvårskalender for "&amp;Stamoplysninger!E14&amp;" vedr. skoleåret "&amp;Vejledning!B2&amp;""</f>
        <v>Halvårskalender for  vedr. skoleåret 2025-2026</v>
      </c>
      <c r="B1" s="348"/>
      <c r="C1" s="349"/>
      <c r="D1" s="349"/>
      <c r="E1" s="352"/>
      <c r="F1" s="351"/>
      <c r="G1" s="348"/>
      <c r="H1" s="349"/>
      <c r="I1" s="349"/>
      <c r="J1" s="352"/>
      <c r="K1" s="351"/>
      <c r="L1" s="348"/>
      <c r="M1" s="349"/>
      <c r="N1" s="349"/>
      <c r="O1" s="352"/>
      <c r="P1" s="351"/>
      <c r="Q1" s="348"/>
      <c r="R1" s="349"/>
      <c r="S1" s="349"/>
      <c r="T1" s="352"/>
      <c r="U1" s="351"/>
      <c r="V1" s="348"/>
      <c r="W1" s="349"/>
      <c r="X1" s="349"/>
      <c r="Y1" s="352"/>
      <c r="Z1" s="351"/>
      <c r="AA1" s="348"/>
      <c r="AB1" s="349"/>
      <c r="AC1" s="349"/>
      <c r="AD1" s="350"/>
    </row>
    <row r="2" spans="1:30" s="36" customFormat="1" ht="23" customHeight="1">
      <c r="A2" s="341" t="s">
        <v>58</v>
      </c>
      <c r="B2" s="342"/>
      <c r="C2" s="343"/>
      <c r="D2" s="343"/>
      <c r="E2" s="344"/>
      <c r="F2" s="345" t="s">
        <v>59</v>
      </c>
      <c r="G2" s="342"/>
      <c r="H2" s="343"/>
      <c r="I2" s="343"/>
      <c r="J2" s="344"/>
      <c r="K2" s="346" t="s">
        <v>60</v>
      </c>
      <c r="L2" s="342"/>
      <c r="M2" s="343"/>
      <c r="N2" s="343"/>
      <c r="O2" s="344"/>
      <c r="P2" s="341" t="s">
        <v>61</v>
      </c>
      <c r="Q2" s="342"/>
      <c r="R2" s="343"/>
      <c r="S2" s="343"/>
      <c r="T2" s="344"/>
      <c r="U2" s="341" t="s">
        <v>62</v>
      </c>
      <c r="V2" s="342"/>
      <c r="W2" s="343"/>
      <c r="X2" s="343"/>
      <c r="Y2" s="344"/>
      <c r="Z2" s="341" t="s">
        <v>63</v>
      </c>
      <c r="AA2" s="342"/>
      <c r="AB2" s="343"/>
      <c r="AC2" s="343"/>
      <c r="AD2" s="344"/>
    </row>
    <row r="3" spans="1:30" ht="23" customHeight="1">
      <c r="A3" s="459">
        <f>August!A20</f>
        <v>1</v>
      </c>
      <c r="B3" s="460" t="str">
        <f>August!B20</f>
        <v>fr</v>
      </c>
      <c r="C3" s="501" t="str">
        <f>August!C20</f>
        <v>Normal uge 1</v>
      </c>
      <c r="D3" s="502" t="str">
        <f>August!DL20</f>
        <v/>
      </c>
      <c r="E3" s="339" t="str">
        <f>Aar!D3</f>
        <v/>
      </c>
      <c r="F3" s="459">
        <f>September!A15</f>
        <v>1</v>
      </c>
      <c r="G3" s="460" t="str">
        <f>September!B15</f>
        <v>ma</v>
      </c>
      <c r="H3" s="503" t="str">
        <f>September!C15</f>
        <v>Normal uge 1</v>
      </c>
      <c r="I3" s="502" t="str">
        <f>September!DL15</f>
        <v/>
      </c>
      <c r="J3" s="339">
        <f>Aar!H3</f>
        <v>35.714285714285715</v>
      </c>
      <c r="K3" s="459">
        <f>Oktober!A15</f>
        <v>1</v>
      </c>
      <c r="L3" s="460" t="str">
        <f>Oktober!B15</f>
        <v>on</v>
      </c>
      <c r="M3" s="503" t="str">
        <f>Oktober!C15</f>
        <v>Normal uge 1</v>
      </c>
      <c r="N3" s="504" t="str">
        <f>Oktober!DL15</f>
        <v/>
      </c>
      <c r="O3" s="339" t="str">
        <f>Aar!L3</f>
        <v/>
      </c>
      <c r="P3" s="459">
        <f>November!A15</f>
        <v>1</v>
      </c>
      <c r="Q3" s="460" t="str">
        <f>November!B15</f>
        <v>lø</v>
      </c>
      <c r="R3" s="503" t="str">
        <f>November!C15</f>
        <v>Weekend</v>
      </c>
      <c r="S3" s="504" t="str">
        <f>November!DL15</f>
        <v/>
      </c>
      <c r="T3" s="338" t="str">
        <f>Aar!P3</f>
        <v/>
      </c>
      <c r="U3" s="470">
        <f>December!A15</f>
        <v>1</v>
      </c>
      <c r="V3" s="505" t="str">
        <f>December!B15</f>
        <v>ma</v>
      </c>
      <c r="W3" s="506" t="str">
        <f>December!C15</f>
        <v>Normal uge 1</v>
      </c>
      <c r="X3" s="502" t="str">
        <f>December!DL15</f>
        <v/>
      </c>
      <c r="Y3" s="339">
        <f>Aar!T3</f>
        <v>48.714285714285715</v>
      </c>
      <c r="Z3" s="459">
        <f>Januar!A15</f>
        <v>1</v>
      </c>
      <c r="AA3" s="460" t="str">
        <f>Januar!B15</f>
        <v>to</v>
      </c>
      <c r="AB3" s="503" t="str">
        <f>Januar!C15</f>
        <v>SH-dag</v>
      </c>
      <c r="AC3" s="504" t="str">
        <f>Januar!DL15</f>
        <v>Nytårsdag</v>
      </c>
      <c r="AD3" s="339" t="str">
        <f>Aar!X3</f>
        <v/>
      </c>
    </row>
    <row r="4" spans="1:30" ht="23" customHeight="1">
      <c r="A4" s="459">
        <f>August!A21</f>
        <v>2</v>
      </c>
      <c r="B4" s="460" t="str">
        <f>August!B21</f>
        <v>lø</v>
      </c>
      <c r="C4" s="501" t="str">
        <f>August!C21</f>
        <v>Weekend</v>
      </c>
      <c r="D4" s="502" t="str">
        <f>August!DL21</f>
        <v/>
      </c>
      <c r="E4" s="339" t="str">
        <f>Aar!D4</f>
        <v/>
      </c>
      <c r="F4" s="459">
        <f>September!A16</f>
        <v>2</v>
      </c>
      <c r="G4" s="460" t="str">
        <f>September!B16</f>
        <v>ti</v>
      </c>
      <c r="H4" s="503" t="str">
        <f>September!C16</f>
        <v>Normal uge 1</v>
      </c>
      <c r="I4" s="502" t="str">
        <f>September!DL16</f>
        <v/>
      </c>
      <c r="J4" s="339" t="str">
        <f>Aar!H4</f>
        <v/>
      </c>
      <c r="K4" s="459">
        <f>Oktober!A16</f>
        <v>2</v>
      </c>
      <c r="L4" s="460" t="str">
        <f>Oktober!B16</f>
        <v>to</v>
      </c>
      <c r="M4" s="503" t="str">
        <f>Oktober!C16</f>
        <v>Normal uge 1</v>
      </c>
      <c r="N4" s="504" t="str">
        <f>Oktober!DL16</f>
        <v/>
      </c>
      <c r="O4" s="339" t="str">
        <f>Aar!L4</f>
        <v/>
      </c>
      <c r="P4" s="459">
        <f>November!A16</f>
        <v>2</v>
      </c>
      <c r="Q4" s="460" t="str">
        <f>November!B16</f>
        <v>sø</v>
      </c>
      <c r="R4" s="503" t="str">
        <f>November!C16</f>
        <v>Weekend</v>
      </c>
      <c r="S4" s="504" t="str">
        <f>November!DL16</f>
        <v/>
      </c>
      <c r="T4" s="338" t="str">
        <f>Aar!P4</f>
        <v/>
      </c>
      <c r="U4" s="470">
        <f>December!A16</f>
        <v>2</v>
      </c>
      <c r="V4" s="505" t="str">
        <f>December!B16</f>
        <v>ti</v>
      </c>
      <c r="W4" s="506" t="str">
        <f>December!C16</f>
        <v>Normal uge 1</v>
      </c>
      <c r="X4" s="502" t="str">
        <f>December!DL16</f>
        <v/>
      </c>
      <c r="Y4" s="339" t="str">
        <f>Aar!T4</f>
        <v/>
      </c>
      <c r="Z4" s="459">
        <f>Januar!A16</f>
        <v>2</v>
      </c>
      <c r="AA4" s="460" t="str">
        <f>Januar!B16</f>
        <v>fr</v>
      </c>
      <c r="AB4" s="503" t="str">
        <f>Januar!C16</f>
        <v>Normal uge 1</v>
      </c>
      <c r="AC4" s="504" t="str">
        <f>Januar!DL16</f>
        <v/>
      </c>
      <c r="AD4" s="339" t="str">
        <f>Aar!X4</f>
        <v/>
      </c>
    </row>
    <row r="5" spans="1:30" ht="23" customHeight="1">
      <c r="A5" s="459">
        <f>August!A22</f>
        <v>3</v>
      </c>
      <c r="B5" s="460" t="str">
        <f>August!B22</f>
        <v>sø</v>
      </c>
      <c r="C5" s="501" t="str">
        <f>August!C22</f>
        <v>Weekend</v>
      </c>
      <c r="D5" s="502" t="str">
        <f>August!DL22</f>
        <v/>
      </c>
      <c r="E5" s="339" t="str">
        <f>Aar!D5</f>
        <v/>
      </c>
      <c r="F5" s="459">
        <f>September!A17</f>
        <v>3</v>
      </c>
      <c r="G5" s="460" t="str">
        <f>September!B17</f>
        <v>on</v>
      </c>
      <c r="H5" s="503" t="str">
        <f>September!C17</f>
        <v>Normal uge 1</v>
      </c>
      <c r="I5" s="502" t="str">
        <f>September!DL17</f>
        <v/>
      </c>
      <c r="J5" s="339" t="str">
        <f>Aar!H5</f>
        <v/>
      </c>
      <c r="K5" s="459">
        <f>Oktober!A17</f>
        <v>3</v>
      </c>
      <c r="L5" s="460" t="str">
        <f>Oktober!B17</f>
        <v>fr</v>
      </c>
      <c r="M5" s="503" t="str">
        <f>Oktober!C17</f>
        <v>Normal uge 1</v>
      </c>
      <c r="N5" s="504" t="str">
        <f>Oktober!DL17</f>
        <v/>
      </c>
      <c r="O5" s="339" t="str">
        <f>Aar!L5</f>
        <v/>
      </c>
      <c r="P5" s="459">
        <f>November!A17</f>
        <v>3</v>
      </c>
      <c r="Q5" s="460" t="str">
        <f>November!B17</f>
        <v>ma</v>
      </c>
      <c r="R5" s="503" t="str">
        <f>November!C17</f>
        <v>Normal uge 1</v>
      </c>
      <c r="S5" s="504" t="str">
        <f>November!DL17</f>
        <v/>
      </c>
      <c r="T5" s="338">
        <f>Aar!P5</f>
        <v>44.714285714285715</v>
      </c>
      <c r="U5" s="470">
        <f>December!A17</f>
        <v>3</v>
      </c>
      <c r="V5" s="505" t="str">
        <f>December!B17</f>
        <v>on</v>
      </c>
      <c r="W5" s="506" t="str">
        <f>December!C17</f>
        <v>Normal uge 1</v>
      </c>
      <c r="X5" s="502" t="str">
        <f>December!DL17</f>
        <v/>
      </c>
      <c r="Y5" s="339" t="str">
        <f>Aar!T5</f>
        <v/>
      </c>
      <c r="Z5" s="459">
        <f>Januar!A17</f>
        <v>3</v>
      </c>
      <c r="AA5" s="460" t="str">
        <f>Januar!B17</f>
        <v>lø</v>
      </c>
      <c r="AB5" s="503" t="str">
        <f>Januar!C17</f>
        <v>Weekend</v>
      </c>
      <c r="AC5" s="504" t="str">
        <f>Januar!DL17</f>
        <v/>
      </c>
      <c r="AD5" s="339" t="str">
        <f>Aar!X5</f>
        <v/>
      </c>
    </row>
    <row r="6" spans="1:30" ht="23" customHeight="1">
      <c r="A6" s="459">
        <f>August!A23</f>
        <v>4</v>
      </c>
      <c r="B6" s="460" t="str">
        <f>August!B23</f>
        <v>ma</v>
      </c>
      <c r="C6" s="501" t="str">
        <f>August!C23</f>
        <v>Normal uge 1</v>
      </c>
      <c r="D6" s="502" t="str">
        <f>August!DL23</f>
        <v/>
      </c>
      <c r="E6" s="339">
        <f>Aar!D6</f>
        <v>31.714285714285715</v>
      </c>
      <c r="F6" s="459">
        <f>September!A18</f>
        <v>4</v>
      </c>
      <c r="G6" s="460" t="str">
        <f>September!B18</f>
        <v>to</v>
      </c>
      <c r="H6" s="503" t="str">
        <f>September!C18</f>
        <v>Normal uge 1</v>
      </c>
      <c r="I6" s="502" t="str">
        <f>September!DL18</f>
        <v/>
      </c>
      <c r="J6" s="339" t="str">
        <f>Aar!H6</f>
        <v/>
      </c>
      <c r="K6" s="459">
        <f>Oktober!A18</f>
        <v>4</v>
      </c>
      <c r="L6" s="460" t="str">
        <f>Oktober!B18</f>
        <v>lø</v>
      </c>
      <c r="M6" s="503" t="str">
        <f>Oktober!C18</f>
        <v>Weekend</v>
      </c>
      <c r="N6" s="504" t="str">
        <f>Oktober!DL18</f>
        <v/>
      </c>
      <c r="O6" s="339" t="str">
        <f>Aar!L6</f>
        <v/>
      </c>
      <c r="P6" s="459">
        <f>November!A18</f>
        <v>4</v>
      </c>
      <c r="Q6" s="460" t="str">
        <f>November!B18</f>
        <v>ti</v>
      </c>
      <c r="R6" s="503" t="str">
        <f>November!C18</f>
        <v>Normal uge 1</v>
      </c>
      <c r="S6" s="504" t="str">
        <f>November!DL18</f>
        <v/>
      </c>
      <c r="T6" s="338" t="str">
        <f>Aar!P6</f>
        <v/>
      </c>
      <c r="U6" s="470">
        <f>December!A18</f>
        <v>4</v>
      </c>
      <c r="V6" s="505" t="str">
        <f>December!B18</f>
        <v>to</v>
      </c>
      <c r="W6" s="506" t="str">
        <f>December!C18</f>
        <v>Normal uge 1</v>
      </c>
      <c r="X6" s="502" t="str">
        <f>December!DL18</f>
        <v/>
      </c>
      <c r="Y6" s="339" t="str">
        <f>Aar!T6</f>
        <v/>
      </c>
      <c r="Z6" s="459">
        <f>Januar!A18</f>
        <v>4</v>
      </c>
      <c r="AA6" s="460" t="str">
        <f>Januar!B18</f>
        <v>sø</v>
      </c>
      <c r="AB6" s="503" t="str">
        <f>Januar!C18</f>
        <v>Weekend</v>
      </c>
      <c r="AC6" s="504" t="str">
        <f>Januar!DL18</f>
        <v/>
      </c>
      <c r="AD6" s="339" t="str">
        <f>Aar!X6</f>
        <v/>
      </c>
    </row>
    <row r="7" spans="1:30" ht="23" customHeight="1">
      <c r="A7" s="459">
        <f>August!A24</f>
        <v>5</v>
      </c>
      <c r="B7" s="460" t="str">
        <f>August!B24</f>
        <v>ti</v>
      </c>
      <c r="C7" s="501" t="str">
        <f>August!C24</f>
        <v>Normal uge 1</v>
      </c>
      <c r="D7" s="502" t="str">
        <f>August!DL24</f>
        <v/>
      </c>
      <c r="E7" s="339" t="str">
        <f>Aar!D7</f>
        <v/>
      </c>
      <c r="F7" s="459">
        <f>September!A19</f>
        <v>5</v>
      </c>
      <c r="G7" s="460" t="str">
        <f>September!B19</f>
        <v>fr</v>
      </c>
      <c r="H7" s="503" t="str">
        <f>September!C19</f>
        <v>Normal uge 1</v>
      </c>
      <c r="I7" s="502" t="str">
        <f>September!DL19</f>
        <v/>
      </c>
      <c r="J7" s="339" t="str">
        <f>Aar!H7</f>
        <v/>
      </c>
      <c r="K7" s="459">
        <f>Oktober!A19</f>
        <v>5</v>
      </c>
      <c r="L7" s="460" t="str">
        <f>Oktober!B19</f>
        <v>sø</v>
      </c>
      <c r="M7" s="503" t="str">
        <f>Oktober!C19</f>
        <v>Weekend</v>
      </c>
      <c r="N7" s="504" t="str">
        <f>Oktober!DL19</f>
        <v/>
      </c>
      <c r="O7" s="339" t="str">
        <f>Aar!L7</f>
        <v/>
      </c>
      <c r="P7" s="459">
        <f>November!A19</f>
        <v>5</v>
      </c>
      <c r="Q7" s="460" t="str">
        <f>November!B19</f>
        <v>on</v>
      </c>
      <c r="R7" s="503" t="str">
        <f>November!C19</f>
        <v>Normal uge 1</v>
      </c>
      <c r="S7" s="504" t="str">
        <f>November!DL19</f>
        <v/>
      </c>
      <c r="T7" s="338" t="str">
        <f>Aar!P7</f>
        <v/>
      </c>
      <c r="U7" s="470">
        <f>December!A19</f>
        <v>5</v>
      </c>
      <c r="V7" s="505" t="str">
        <f>December!B19</f>
        <v>fr</v>
      </c>
      <c r="W7" s="506" t="str">
        <f>December!C19</f>
        <v>Normal uge 1</v>
      </c>
      <c r="X7" s="502" t="str">
        <f>December!DL19</f>
        <v/>
      </c>
      <c r="Y7" s="339" t="str">
        <f>Aar!T7</f>
        <v/>
      </c>
      <c r="Z7" s="459">
        <f>Januar!A19</f>
        <v>5</v>
      </c>
      <c r="AA7" s="460" t="str">
        <f>Januar!B19</f>
        <v>ma</v>
      </c>
      <c r="AB7" s="503" t="str">
        <f>Januar!C19</f>
        <v>Normal uge 1</v>
      </c>
      <c r="AC7" s="504" t="str">
        <f>Januar!DL19</f>
        <v/>
      </c>
      <c r="AD7" s="339">
        <f>Aar!X7</f>
        <v>1.5714285714285714</v>
      </c>
    </row>
    <row r="8" spans="1:30" ht="23" customHeight="1">
      <c r="A8" s="459">
        <f>August!A25</f>
        <v>6</v>
      </c>
      <c r="B8" s="460" t="str">
        <f>August!B25</f>
        <v>on</v>
      </c>
      <c r="C8" s="501" t="str">
        <f>August!C25</f>
        <v>Normal uge 1</v>
      </c>
      <c r="D8" s="502" t="str">
        <f>August!DL25</f>
        <v/>
      </c>
      <c r="E8" s="339" t="str">
        <f>Aar!D8</f>
        <v/>
      </c>
      <c r="F8" s="459">
        <f>September!A20</f>
        <v>6</v>
      </c>
      <c r="G8" s="460" t="str">
        <f>September!B20</f>
        <v>lø</v>
      </c>
      <c r="H8" s="503" t="str">
        <f>September!C20</f>
        <v>Weekend</v>
      </c>
      <c r="I8" s="502" t="str">
        <f>September!DL20</f>
        <v/>
      </c>
      <c r="J8" s="339" t="str">
        <f>Aar!H8</f>
        <v/>
      </c>
      <c r="K8" s="459">
        <f>Oktober!A20</f>
        <v>6</v>
      </c>
      <c r="L8" s="460" t="str">
        <f>Oktober!B20</f>
        <v>ma</v>
      </c>
      <c r="M8" s="503" t="str">
        <f>Oktober!C20</f>
        <v>Normal uge 1</v>
      </c>
      <c r="N8" s="504" t="str">
        <f>Oktober!DL20</f>
        <v/>
      </c>
      <c r="O8" s="339">
        <f>Aar!L8</f>
        <v>40.714285714285715</v>
      </c>
      <c r="P8" s="459">
        <f>November!A20</f>
        <v>6</v>
      </c>
      <c r="Q8" s="460" t="str">
        <f>November!B20</f>
        <v>to</v>
      </c>
      <c r="R8" s="503" t="str">
        <f>November!C20</f>
        <v>Normal uge 1</v>
      </c>
      <c r="S8" s="504" t="str">
        <f>November!DL20</f>
        <v/>
      </c>
      <c r="T8" s="338" t="str">
        <f>Aar!P8</f>
        <v/>
      </c>
      <c r="U8" s="470">
        <f>December!A20</f>
        <v>6</v>
      </c>
      <c r="V8" s="505" t="str">
        <f>December!B20</f>
        <v>lø</v>
      </c>
      <c r="W8" s="506" t="str">
        <f>December!C20</f>
        <v>Weekend</v>
      </c>
      <c r="X8" s="502" t="str">
        <f>December!DL20</f>
        <v/>
      </c>
      <c r="Y8" s="339" t="str">
        <f>Aar!T8</f>
        <v/>
      </c>
      <c r="Z8" s="459">
        <f>Januar!A20</f>
        <v>6</v>
      </c>
      <c r="AA8" s="460" t="str">
        <f>Januar!B20</f>
        <v>ti</v>
      </c>
      <c r="AB8" s="503" t="str">
        <f>Januar!C20</f>
        <v>Normal uge 1</v>
      </c>
      <c r="AC8" s="504" t="str">
        <f>Januar!DL20</f>
        <v/>
      </c>
      <c r="AD8" s="339" t="str">
        <f>Aar!X8</f>
        <v/>
      </c>
    </row>
    <row r="9" spans="1:30" ht="23" customHeight="1">
      <c r="A9" s="459">
        <f>August!A26</f>
        <v>7</v>
      </c>
      <c r="B9" s="460" t="str">
        <f>August!B26</f>
        <v>to</v>
      </c>
      <c r="C9" s="501" t="str">
        <f>August!C26</f>
        <v>Normal uge 1</v>
      </c>
      <c r="D9" s="502" t="str">
        <f>August!DL26</f>
        <v/>
      </c>
      <c r="E9" s="339" t="str">
        <f>Aar!D9</f>
        <v/>
      </c>
      <c r="F9" s="459">
        <f>September!A21</f>
        <v>7</v>
      </c>
      <c r="G9" s="460" t="str">
        <f>September!B21</f>
        <v>sø</v>
      </c>
      <c r="H9" s="503" t="str">
        <f>September!C21</f>
        <v>Weekend</v>
      </c>
      <c r="I9" s="502" t="str">
        <f>September!DL21</f>
        <v/>
      </c>
      <c r="J9" s="339" t="str">
        <f>Aar!H9</f>
        <v/>
      </c>
      <c r="K9" s="459">
        <f>Oktober!A21</f>
        <v>7</v>
      </c>
      <c r="L9" s="460" t="str">
        <f>Oktober!B21</f>
        <v>ti</v>
      </c>
      <c r="M9" s="503" t="str">
        <f>Oktober!C21</f>
        <v>Normal uge 1</v>
      </c>
      <c r="N9" s="504" t="str">
        <f>Oktober!DL21</f>
        <v/>
      </c>
      <c r="O9" s="339" t="str">
        <f>Aar!L9</f>
        <v/>
      </c>
      <c r="P9" s="459">
        <f>November!A21</f>
        <v>7</v>
      </c>
      <c r="Q9" s="460" t="str">
        <f>November!B21</f>
        <v>fr</v>
      </c>
      <c r="R9" s="503" t="str">
        <f>November!C21</f>
        <v>Normal uge 1</v>
      </c>
      <c r="S9" s="504" t="str">
        <f>November!DL21</f>
        <v/>
      </c>
      <c r="T9" s="338" t="str">
        <f>Aar!P9</f>
        <v/>
      </c>
      <c r="U9" s="470">
        <f>December!A21</f>
        <v>7</v>
      </c>
      <c r="V9" s="505" t="str">
        <f>December!B21</f>
        <v>sø</v>
      </c>
      <c r="W9" s="506" t="str">
        <f>December!C21</f>
        <v>Weekend</v>
      </c>
      <c r="X9" s="502" t="str">
        <f>December!DL21</f>
        <v/>
      </c>
      <c r="Y9" s="339" t="str">
        <f>Aar!T9</f>
        <v/>
      </c>
      <c r="Z9" s="459">
        <f>Januar!A21</f>
        <v>7</v>
      </c>
      <c r="AA9" s="460" t="str">
        <f>Januar!B21</f>
        <v>on</v>
      </c>
      <c r="AB9" s="503" t="str">
        <f>Januar!C21</f>
        <v>Normal uge 1</v>
      </c>
      <c r="AC9" s="504" t="str">
        <f>Januar!DL21</f>
        <v/>
      </c>
      <c r="AD9" s="339" t="str">
        <f>Aar!X9</f>
        <v/>
      </c>
    </row>
    <row r="10" spans="1:30" ht="23" customHeight="1">
      <c r="A10" s="459">
        <f>August!A27</f>
        <v>8</v>
      </c>
      <c r="B10" s="460" t="str">
        <f>August!B27</f>
        <v>fr</v>
      </c>
      <c r="C10" s="501" t="str">
        <f>August!C27</f>
        <v>Normal uge 1</v>
      </c>
      <c r="D10" s="502" t="str">
        <f>August!DL27</f>
        <v/>
      </c>
      <c r="E10" s="339" t="str">
        <f>Aar!D10</f>
        <v/>
      </c>
      <c r="F10" s="459">
        <f>September!A22</f>
        <v>8</v>
      </c>
      <c r="G10" s="460" t="str">
        <f>September!B22</f>
        <v>ma</v>
      </c>
      <c r="H10" s="503" t="str">
        <f>September!C22</f>
        <v>Normal uge 1</v>
      </c>
      <c r="I10" s="502" t="str">
        <f>September!DL22</f>
        <v/>
      </c>
      <c r="J10" s="339">
        <f>Aar!H10</f>
        <v>36.714285714285715</v>
      </c>
      <c r="K10" s="459">
        <f>Oktober!A22</f>
        <v>8</v>
      </c>
      <c r="L10" s="460" t="str">
        <f>Oktober!B22</f>
        <v>on</v>
      </c>
      <c r="M10" s="503" t="str">
        <f>Oktober!C22</f>
        <v>Normal uge 1</v>
      </c>
      <c r="N10" s="504" t="str">
        <f>Oktober!DL22</f>
        <v/>
      </c>
      <c r="O10" s="339" t="str">
        <f>Aar!L10</f>
        <v/>
      </c>
      <c r="P10" s="459">
        <f>November!A22</f>
        <v>8</v>
      </c>
      <c r="Q10" s="460" t="str">
        <f>November!B22</f>
        <v>lø</v>
      </c>
      <c r="R10" s="503" t="str">
        <f>November!C22</f>
        <v>Weekend</v>
      </c>
      <c r="S10" s="504" t="str">
        <f>November!DL22</f>
        <v/>
      </c>
      <c r="T10" s="338" t="str">
        <f>Aar!P10</f>
        <v/>
      </c>
      <c r="U10" s="470">
        <f>December!A22</f>
        <v>8</v>
      </c>
      <c r="V10" s="505" t="str">
        <f>December!B22</f>
        <v>ma</v>
      </c>
      <c r="W10" s="506" t="str">
        <f>December!C22</f>
        <v>Normal uge 1</v>
      </c>
      <c r="X10" s="502" t="str">
        <f>December!DL22</f>
        <v/>
      </c>
      <c r="Y10" s="339">
        <f>Aar!T10</f>
        <v>49.714285714285715</v>
      </c>
      <c r="Z10" s="459">
        <f>Januar!A22</f>
        <v>8</v>
      </c>
      <c r="AA10" s="460" t="str">
        <f>Januar!B22</f>
        <v>to</v>
      </c>
      <c r="AB10" s="503" t="str">
        <f>Januar!C22</f>
        <v>Normal uge 1</v>
      </c>
      <c r="AC10" s="504" t="str">
        <f>Januar!DL22</f>
        <v/>
      </c>
      <c r="AD10" s="339" t="str">
        <f>Aar!X10</f>
        <v/>
      </c>
    </row>
    <row r="11" spans="1:30" ht="23" customHeight="1">
      <c r="A11" s="459">
        <f>August!A28</f>
        <v>9</v>
      </c>
      <c r="B11" s="460" t="str">
        <f>August!B28</f>
        <v>lø</v>
      </c>
      <c r="C11" s="501" t="str">
        <f>August!C28</f>
        <v>Weekend</v>
      </c>
      <c r="D11" s="502" t="str">
        <f>August!DL28</f>
        <v/>
      </c>
      <c r="E11" s="339" t="str">
        <f>Aar!D11</f>
        <v/>
      </c>
      <c r="F11" s="459">
        <f>September!A23</f>
        <v>9</v>
      </c>
      <c r="G11" s="460" t="str">
        <f>September!B23</f>
        <v>ti</v>
      </c>
      <c r="H11" s="503" t="str">
        <f>September!C23</f>
        <v>Normal uge 1</v>
      </c>
      <c r="I11" s="502" t="str">
        <f>September!DL23</f>
        <v/>
      </c>
      <c r="J11" s="339" t="str">
        <f>Aar!H11</f>
        <v/>
      </c>
      <c r="K11" s="459">
        <f>Oktober!A23</f>
        <v>9</v>
      </c>
      <c r="L11" s="460" t="str">
        <f>Oktober!B23</f>
        <v>to</v>
      </c>
      <c r="M11" s="503" t="str">
        <f>Oktober!C23</f>
        <v>Normal uge 1</v>
      </c>
      <c r="N11" s="504" t="str">
        <f>Oktober!DL23</f>
        <v/>
      </c>
      <c r="O11" s="339" t="str">
        <f>Aar!L11</f>
        <v/>
      </c>
      <c r="P11" s="459">
        <f>November!A23</f>
        <v>9</v>
      </c>
      <c r="Q11" s="460" t="str">
        <f>November!B23</f>
        <v>sø</v>
      </c>
      <c r="R11" s="503" t="str">
        <f>November!C23</f>
        <v>Weekend</v>
      </c>
      <c r="S11" s="504" t="str">
        <f>November!DL23</f>
        <v/>
      </c>
      <c r="T11" s="338" t="str">
        <f>Aar!P11</f>
        <v/>
      </c>
      <c r="U11" s="470">
        <f>December!A23</f>
        <v>9</v>
      </c>
      <c r="V11" s="505" t="str">
        <f>December!B23</f>
        <v>ti</v>
      </c>
      <c r="W11" s="506" t="str">
        <f>December!C23</f>
        <v>Normal uge 1</v>
      </c>
      <c r="X11" s="502" t="str">
        <f>December!DL23</f>
        <v/>
      </c>
      <c r="Y11" s="339" t="str">
        <f>Aar!T11</f>
        <v/>
      </c>
      <c r="Z11" s="459">
        <f>Januar!A23</f>
        <v>9</v>
      </c>
      <c r="AA11" s="460" t="str">
        <f>Januar!B23</f>
        <v>fr</v>
      </c>
      <c r="AB11" s="503" t="str">
        <f>Januar!C23</f>
        <v>Normal uge 1</v>
      </c>
      <c r="AC11" s="504" t="str">
        <f>Januar!DL23</f>
        <v/>
      </c>
      <c r="AD11" s="339" t="str">
        <f>Aar!X11</f>
        <v/>
      </c>
    </row>
    <row r="12" spans="1:30" ht="23" customHeight="1">
      <c r="A12" s="459">
        <f>August!A29</f>
        <v>10</v>
      </c>
      <c r="B12" s="460" t="str">
        <f>August!B29</f>
        <v>sø</v>
      </c>
      <c r="C12" s="501" t="str">
        <f>August!C29</f>
        <v>Weekend</v>
      </c>
      <c r="D12" s="502" t="str">
        <f>August!DL29</f>
        <v/>
      </c>
      <c r="E12" s="339" t="str">
        <f>Aar!D12</f>
        <v/>
      </c>
      <c r="F12" s="459">
        <f>September!A24</f>
        <v>10</v>
      </c>
      <c r="G12" s="460" t="str">
        <f>September!B24</f>
        <v>on</v>
      </c>
      <c r="H12" s="503" t="str">
        <f>September!C24</f>
        <v>Normal uge 1</v>
      </c>
      <c r="I12" s="502" t="str">
        <f>September!DL24</f>
        <v/>
      </c>
      <c r="J12" s="339" t="str">
        <f>Aar!H12</f>
        <v/>
      </c>
      <c r="K12" s="459">
        <f>Oktober!A24</f>
        <v>10</v>
      </c>
      <c r="L12" s="460" t="str">
        <f>Oktober!B24</f>
        <v>fr</v>
      </c>
      <c r="M12" s="503" t="str">
        <f>Oktober!C24</f>
        <v>Normal uge 1</v>
      </c>
      <c r="N12" s="504" t="str">
        <f>Oktober!DL24</f>
        <v/>
      </c>
      <c r="O12" s="339" t="str">
        <f>Aar!L12</f>
        <v/>
      </c>
      <c r="P12" s="459">
        <f>November!A24</f>
        <v>10</v>
      </c>
      <c r="Q12" s="460" t="str">
        <f>November!B24</f>
        <v>ma</v>
      </c>
      <c r="R12" s="503" t="str">
        <f>November!C24</f>
        <v>Normal uge 1</v>
      </c>
      <c r="S12" s="504" t="str">
        <f>November!DL24</f>
        <v/>
      </c>
      <c r="T12" s="338">
        <f>Aar!P12</f>
        <v>45.714285714285715</v>
      </c>
      <c r="U12" s="470">
        <f>December!A24</f>
        <v>10</v>
      </c>
      <c r="V12" s="505" t="str">
        <f>December!B24</f>
        <v>on</v>
      </c>
      <c r="W12" s="506" t="str">
        <f>December!C24</f>
        <v>Normal uge 1</v>
      </c>
      <c r="X12" s="502" t="str">
        <f>December!DL24</f>
        <v/>
      </c>
      <c r="Y12" s="339" t="str">
        <f>Aar!T12</f>
        <v/>
      </c>
      <c r="Z12" s="459">
        <f>Januar!A24</f>
        <v>10</v>
      </c>
      <c r="AA12" s="460" t="str">
        <f>Januar!B24</f>
        <v>lø</v>
      </c>
      <c r="AB12" s="503" t="str">
        <f>Januar!C24</f>
        <v>Weekend</v>
      </c>
      <c r="AC12" s="504" t="str">
        <f>Januar!DL24</f>
        <v/>
      </c>
      <c r="AD12" s="339" t="str">
        <f>Aar!X12</f>
        <v/>
      </c>
    </row>
    <row r="13" spans="1:30" ht="23" customHeight="1">
      <c r="A13" s="459">
        <f>August!A30</f>
        <v>11</v>
      </c>
      <c r="B13" s="460" t="str">
        <f>August!B30</f>
        <v>ma</v>
      </c>
      <c r="C13" s="501" t="str">
        <f>August!C30</f>
        <v>Normal uge 1</v>
      </c>
      <c r="D13" s="502" t="str">
        <f>August!DL30</f>
        <v/>
      </c>
      <c r="E13" s="339">
        <f>Aar!D13</f>
        <v>32.714285714285715</v>
      </c>
      <c r="F13" s="459">
        <f>September!A25</f>
        <v>11</v>
      </c>
      <c r="G13" s="460" t="str">
        <f>September!B25</f>
        <v>to</v>
      </c>
      <c r="H13" s="503" t="str">
        <f>September!C25</f>
        <v>Normal uge 1</v>
      </c>
      <c r="I13" s="502" t="str">
        <f>September!DL25</f>
        <v/>
      </c>
      <c r="J13" s="339" t="str">
        <f>Aar!H13</f>
        <v/>
      </c>
      <c r="K13" s="459">
        <f>Oktober!A25</f>
        <v>11</v>
      </c>
      <c r="L13" s="460" t="str">
        <f>Oktober!B25</f>
        <v>lø</v>
      </c>
      <c r="M13" s="503" t="str">
        <f>Oktober!C25</f>
        <v>Weekend</v>
      </c>
      <c r="N13" s="504" t="str">
        <f>Oktober!DL25</f>
        <v/>
      </c>
      <c r="O13" s="339" t="str">
        <f>Aar!L13</f>
        <v/>
      </c>
      <c r="P13" s="459">
        <f>November!A25</f>
        <v>11</v>
      </c>
      <c r="Q13" s="460" t="str">
        <f>November!B25</f>
        <v>ti</v>
      </c>
      <c r="R13" s="503" t="str">
        <f>November!C25</f>
        <v>Normal uge 1</v>
      </c>
      <c r="S13" s="504" t="str">
        <f>November!DL25</f>
        <v/>
      </c>
      <c r="T13" s="338" t="str">
        <f>Aar!P13</f>
        <v/>
      </c>
      <c r="U13" s="470">
        <f>December!A25</f>
        <v>11</v>
      </c>
      <c r="V13" s="505" t="str">
        <f>December!B25</f>
        <v>to</v>
      </c>
      <c r="W13" s="506" t="str">
        <f>December!C25</f>
        <v>Normal uge 1</v>
      </c>
      <c r="X13" s="502" t="str">
        <f>December!DL25</f>
        <v/>
      </c>
      <c r="Y13" s="339" t="str">
        <f>Aar!T13</f>
        <v/>
      </c>
      <c r="Z13" s="459">
        <f>Januar!A25</f>
        <v>11</v>
      </c>
      <c r="AA13" s="460" t="str">
        <f>Januar!B25</f>
        <v>sø</v>
      </c>
      <c r="AB13" s="503" t="str">
        <f>Januar!C25</f>
        <v>Weekend</v>
      </c>
      <c r="AC13" s="504" t="str">
        <f>Januar!DL25</f>
        <v/>
      </c>
      <c r="AD13" s="339" t="str">
        <f>Aar!X13</f>
        <v/>
      </c>
    </row>
    <row r="14" spans="1:30" ht="23" customHeight="1">
      <c r="A14" s="459">
        <f>August!A31</f>
        <v>12</v>
      </c>
      <c r="B14" s="460" t="str">
        <f>August!B31</f>
        <v>ti</v>
      </c>
      <c r="C14" s="501" t="str">
        <f>August!C31</f>
        <v>Normal uge 1</v>
      </c>
      <c r="D14" s="502" t="str">
        <f>August!DL31</f>
        <v/>
      </c>
      <c r="E14" s="339" t="str">
        <f>Aar!D14</f>
        <v/>
      </c>
      <c r="F14" s="459">
        <f>September!A26</f>
        <v>12</v>
      </c>
      <c r="G14" s="460" t="str">
        <f>September!B26</f>
        <v>fr</v>
      </c>
      <c r="H14" s="503" t="str">
        <f>September!C26</f>
        <v>Normal uge 1</v>
      </c>
      <c r="I14" s="502" t="str">
        <f>September!DL26</f>
        <v/>
      </c>
      <c r="J14" s="339" t="str">
        <f>Aar!H14</f>
        <v/>
      </c>
      <c r="K14" s="459">
        <f>Oktober!A26</f>
        <v>12</v>
      </c>
      <c r="L14" s="460" t="str">
        <f>Oktober!B26</f>
        <v>sø</v>
      </c>
      <c r="M14" s="503" t="str">
        <f>Oktober!C26</f>
        <v>Weekend</v>
      </c>
      <c r="N14" s="504" t="str">
        <f>Oktober!DL26</f>
        <v/>
      </c>
      <c r="O14" s="339" t="str">
        <f>Aar!L14</f>
        <v/>
      </c>
      <c r="P14" s="459">
        <f>November!A26</f>
        <v>12</v>
      </c>
      <c r="Q14" s="460" t="str">
        <f>November!B26</f>
        <v>on</v>
      </c>
      <c r="R14" s="503" t="str">
        <f>November!C26</f>
        <v>Normal uge 1</v>
      </c>
      <c r="S14" s="504" t="str">
        <f>November!DL26</f>
        <v/>
      </c>
      <c r="T14" s="338" t="str">
        <f>Aar!P14</f>
        <v/>
      </c>
      <c r="U14" s="470">
        <f>December!A26</f>
        <v>12</v>
      </c>
      <c r="V14" s="505" t="str">
        <f>December!B26</f>
        <v>fr</v>
      </c>
      <c r="W14" s="506" t="str">
        <f>December!C26</f>
        <v>Normal uge 1</v>
      </c>
      <c r="X14" s="502" t="str">
        <f>December!DL26</f>
        <v/>
      </c>
      <c r="Y14" s="339" t="str">
        <f>Aar!T14</f>
        <v/>
      </c>
      <c r="Z14" s="459">
        <f>Januar!A26</f>
        <v>12</v>
      </c>
      <c r="AA14" s="460" t="str">
        <f>Januar!B26</f>
        <v>ma</v>
      </c>
      <c r="AB14" s="503" t="str">
        <f>Januar!C26</f>
        <v>Normal uge 1</v>
      </c>
      <c r="AC14" s="504" t="str">
        <f>Januar!DL26</f>
        <v/>
      </c>
      <c r="AD14" s="339">
        <f>Aar!X14</f>
        <v>2.5714285714285716</v>
      </c>
    </row>
    <row r="15" spans="1:30" ht="23" customHeight="1">
      <c r="A15" s="459">
        <f>August!A32</f>
        <v>13</v>
      </c>
      <c r="B15" s="460" t="str">
        <f>August!B32</f>
        <v>on</v>
      </c>
      <c r="C15" s="501" t="str">
        <f>August!C32</f>
        <v>Normal uge 1</v>
      </c>
      <c r="D15" s="502" t="str">
        <f>August!DL32</f>
        <v/>
      </c>
      <c r="E15" s="339" t="str">
        <f>Aar!D15</f>
        <v/>
      </c>
      <c r="F15" s="459">
        <f>September!A27</f>
        <v>13</v>
      </c>
      <c r="G15" s="460" t="str">
        <f>September!B27</f>
        <v>lø</v>
      </c>
      <c r="H15" s="503" t="str">
        <f>September!C27</f>
        <v>Weekend</v>
      </c>
      <c r="I15" s="502" t="str">
        <f>September!DL27</f>
        <v/>
      </c>
      <c r="J15" s="339" t="str">
        <f>Aar!H15</f>
        <v/>
      </c>
      <c r="K15" s="459">
        <f>Oktober!A27</f>
        <v>13</v>
      </c>
      <c r="L15" s="460" t="str">
        <f>Oktober!B27</f>
        <v>ma</v>
      </c>
      <c r="M15" s="503" t="str">
        <f>Oktober!C27</f>
        <v>Normal uge 1</v>
      </c>
      <c r="N15" s="504" t="str">
        <f>Oktober!DL27</f>
        <v/>
      </c>
      <c r="O15" s="339">
        <f>Aar!L15</f>
        <v>41.714285714285715</v>
      </c>
      <c r="P15" s="459">
        <f>November!A27</f>
        <v>13</v>
      </c>
      <c r="Q15" s="460" t="str">
        <f>November!B27</f>
        <v>to</v>
      </c>
      <c r="R15" s="503" t="str">
        <f>November!C27</f>
        <v>Normal uge 1</v>
      </c>
      <c r="S15" s="504" t="str">
        <f>November!DL27</f>
        <v/>
      </c>
      <c r="T15" s="338" t="str">
        <f>Aar!P15</f>
        <v/>
      </c>
      <c r="U15" s="470">
        <f>December!A27</f>
        <v>13</v>
      </c>
      <c r="V15" s="505" t="str">
        <f>December!B27</f>
        <v>lø</v>
      </c>
      <c r="W15" s="506" t="str">
        <f>December!C27</f>
        <v>Weekend</v>
      </c>
      <c r="X15" s="502" t="str">
        <f>December!DL27</f>
        <v/>
      </c>
      <c r="Y15" s="339" t="str">
        <f>Aar!T15</f>
        <v/>
      </c>
      <c r="Z15" s="459">
        <f>Januar!A27</f>
        <v>13</v>
      </c>
      <c r="AA15" s="460" t="str">
        <f>Januar!B27</f>
        <v>ti</v>
      </c>
      <c r="AB15" s="503" t="str">
        <f>Januar!C27</f>
        <v>Normal uge 1</v>
      </c>
      <c r="AC15" s="504" t="str">
        <f>Januar!DL27</f>
        <v/>
      </c>
      <c r="AD15" s="339" t="str">
        <f>Aar!X15</f>
        <v/>
      </c>
    </row>
    <row r="16" spans="1:30" ht="23" customHeight="1">
      <c r="A16" s="459">
        <f>August!A33</f>
        <v>14</v>
      </c>
      <c r="B16" s="460" t="str">
        <f>August!B33</f>
        <v>to</v>
      </c>
      <c r="C16" s="501" t="str">
        <f>August!C33</f>
        <v>Normal uge 1</v>
      </c>
      <c r="D16" s="502" t="str">
        <f>August!DL33</f>
        <v/>
      </c>
      <c r="E16" s="339" t="str">
        <f>Aar!D16</f>
        <v/>
      </c>
      <c r="F16" s="459">
        <f>September!A28</f>
        <v>14</v>
      </c>
      <c r="G16" s="460" t="str">
        <f>September!B28</f>
        <v>sø</v>
      </c>
      <c r="H16" s="503" t="str">
        <f>September!C28</f>
        <v>Weekend</v>
      </c>
      <c r="I16" s="502" t="str">
        <f>September!DL28</f>
        <v/>
      </c>
      <c r="J16" s="339" t="str">
        <f>Aar!H16</f>
        <v/>
      </c>
      <c r="K16" s="459">
        <f>Oktober!A28</f>
        <v>14</v>
      </c>
      <c r="L16" s="460" t="str">
        <f>Oktober!B28</f>
        <v>ti</v>
      </c>
      <c r="M16" s="503" t="str">
        <f>Oktober!C28</f>
        <v>Normal uge 1</v>
      </c>
      <c r="N16" s="504" t="str">
        <f>Oktober!DL28</f>
        <v/>
      </c>
      <c r="O16" s="339" t="str">
        <f>Aar!L16</f>
        <v/>
      </c>
      <c r="P16" s="459">
        <f>November!A28</f>
        <v>14</v>
      </c>
      <c r="Q16" s="460" t="str">
        <f>November!B28</f>
        <v>fr</v>
      </c>
      <c r="R16" s="503" t="str">
        <f>November!C28</f>
        <v>Normal uge 1</v>
      </c>
      <c r="S16" s="504" t="str">
        <f>November!DL28</f>
        <v/>
      </c>
      <c r="T16" s="338" t="str">
        <f>Aar!P16</f>
        <v/>
      </c>
      <c r="U16" s="470">
        <f>December!A28</f>
        <v>14</v>
      </c>
      <c r="V16" s="505" t="str">
        <f>December!B28</f>
        <v>sø</v>
      </c>
      <c r="W16" s="506" t="str">
        <f>December!C28</f>
        <v>Weekend</v>
      </c>
      <c r="X16" s="502" t="str">
        <f>December!DL28</f>
        <v/>
      </c>
      <c r="Y16" s="339" t="str">
        <f>Aar!T16</f>
        <v/>
      </c>
      <c r="Z16" s="459">
        <f>Januar!A28</f>
        <v>14</v>
      </c>
      <c r="AA16" s="460" t="str">
        <f>Januar!B28</f>
        <v>on</v>
      </c>
      <c r="AB16" s="503" t="str">
        <f>Januar!C28</f>
        <v>Normal uge 1</v>
      </c>
      <c r="AC16" s="504" t="str">
        <f>Januar!DL28</f>
        <v/>
      </c>
      <c r="AD16" s="339" t="str">
        <f>Aar!X16</f>
        <v/>
      </c>
    </row>
    <row r="17" spans="1:30" ht="23" customHeight="1">
      <c r="A17" s="459">
        <f>August!A34</f>
        <v>15</v>
      </c>
      <c r="B17" s="460" t="str">
        <f>August!B34</f>
        <v>fr</v>
      </c>
      <c r="C17" s="501" t="str">
        <f>August!C34</f>
        <v>Normal uge 1</v>
      </c>
      <c r="D17" s="502" t="str">
        <f>August!DL34</f>
        <v/>
      </c>
      <c r="E17" s="339" t="str">
        <f>Aar!D17</f>
        <v/>
      </c>
      <c r="F17" s="459">
        <f>September!A29</f>
        <v>15</v>
      </c>
      <c r="G17" s="460" t="str">
        <f>September!B29</f>
        <v>ma</v>
      </c>
      <c r="H17" s="503" t="str">
        <f>September!C29</f>
        <v>Normal uge 1</v>
      </c>
      <c r="I17" s="502" t="str">
        <f>September!DL29</f>
        <v/>
      </c>
      <c r="J17" s="339">
        <f>Aar!H17</f>
        <v>37.714285714285715</v>
      </c>
      <c r="K17" s="459">
        <f>Oktober!A29</f>
        <v>15</v>
      </c>
      <c r="L17" s="460" t="str">
        <f>Oktober!B29</f>
        <v>on</v>
      </c>
      <c r="M17" s="503" t="str">
        <f>Oktober!C29</f>
        <v>Normal uge 1</v>
      </c>
      <c r="N17" s="504" t="str">
        <f>Oktober!DL29</f>
        <v/>
      </c>
      <c r="O17" s="339" t="str">
        <f>Aar!L17</f>
        <v/>
      </c>
      <c r="P17" s="459">
        <f>November!A29</f>
        <v>15</v>
      </c>
      <c r="Q17" s="460" t="str">
        <f>November!B29</f>
        <v>lø</v>
      </c>
      <c r="R17" s="503" t="str">
        <f>November!C29</f>
        <v>Weekend</v>
      </c>
      <c r="S17" s="504" t="str">
        <f>November!DL29</f>
        <v/>
      </c>
      <c r="T17" s="338" t="str">
        <f>Aar!P17</f>
        <v/>
      </c>
      <c r="U17" s="470">
        <f>December!A29</f>
        <v>15</v>
      </c>
      <c r="V17" s="505" t="str">
        <f>December!B29</f>
        <v>ma</v>
      </c>
      <c r="W17" s="506" t="str">
        <f>December!C29</f>
        <v>Normal uge 1</v>
      </c>
      <c r="X17" s="502" t="str">
        <f>December!DL29</f>
        <v/>
      </c>
      <c r="Y17" s="339">
        <f>Aar!T17</f>
        <v>50.714285714285715</v>
      </c>
      <c r="Z17" s="459">
        <f>Januar!A29</f>
        <v>15</v>
      </c>
      <c r="AA17" s="460" t="str">
        <f>Januar!B29</f>
        <v>to</v>
      </c>
      <c r="AB17" s="503" t="str">
        <f>Januar!C29</f>
        <v>Normal uge 1</v>
      </c>
      <c r="AC17" s="504" t="str">
        <f>Januar!DL29</f>
        <v/>
      </c>
      <c r="AD17" s="339" t="str">
        <f>Aar!X17</f>
        <v/>
      </c>
    </row>
    <row r="18" spans="1:30" ht="23" customHeight="1">
      <c r="A18" s="459">
        <f>August!A35</f>
        <v>16</v>
      </c>
      <c r="B18" s="460" t="str">
        <f>August!B35</f>
        <v>lø</v>
      </c>
      <c r="C18" s="501" t="str">
        <f>August!C35</f>
        <v>Weekend</v>
      </c>
      <c r="D18" s="502" t="str">
        <f>August!DL35</f>
        <v/>
      </c>
      <c r="E18" s="339" t="str">
        <f>Aar!D18</f>
        <v/>
      </c>
      <c r="F18" s="459">
        <f>September!A30</f>
        <v>16</v>
      </c>
      <c r="G18" s="460" t="str">
        <f>September!B30</f>
        <v>ti</v>
      </c>
      <c r="H18" s="503" t="str">
        <f>September!C30</f>
        <v>Normal uge 1</v>
      </c>
      <c r="I18" s="502" t="str">
        <f>September!DL30</f>
        <v/>
      </c>
      <c r="J18" s="339" t="str">
        <f>Aar!H18</f>
        <v/>
      </c>
      <c r="K18" s="459">
        <f>Oktober!A30</f>
        <v>16</v>
      </c>
      <c r="L18" s="460" t="str">
        <f>Oktober!B30</f>
        <v>to</v>
      </c>
      <c r="M18" s="503" t="str">
        <f>Oktober!C30</f>
        <v>Normal uge 1</v>
      </c>
      <c r="N18" s="504" t="str">
        <f>Oktober!DL30</f>
        <v/>
      </c>
      <c r="O18" s="339" t="str">
        <f>Aar!L18</f>
        <v/>
      </c>
      <c r="P18" s="459">
        <f>November!A30</f>
        <v>16</v>
      </c>
      <c r="Q18" s="460" t="str">
        <f>November!B30</f>
        <v>sø</v>
      </c>
      <c r="R18" s="503" t="str">
        <f>November!C30</f>
        <v>Weekend</v>
      </c>
      <c r="S18" s="504" t="str">
        <f>November!DL30</f>
        <v/>
      </c>
      <c r="T18" s="338" t="str">
        <f>Aar!P18</f>
        <v/>
      </c>
      <c r="U18" s="470">
        <f>December!A30</f>
        <v>16</v>
      </c>
      <c r="V18" s="505" t="str">
        <f>December!B30</f>
        <v>ti</v>
      </c>
      <c r="W18" s="506" t="str">
        <f>December!C30</f>
        <v>Normal uge 1</v>
      </c>
      <c r="X18" s="502" t="str">
        <f>December!DL30</f>
        <v/>
      </c>
      <c r="Y18" s="339" t="str">
        <f>Aar!T18</f>
        <v/>
      </c>
      <c r="Z18" s="459">
        <f>Januar!A30</f>
        <v>16</v>
      </c>
      <c r="AA18" s="460" t="str">
        <f>Januar!B30</f>
        <v>fr</v>
      </c>
      <c r="AB18" s="503" t="str">
        <f>Januar!C30</f>
        <v>Normal uge 1</v>
      </c>
      <c r="AC18" s="504" t="str">
        <f>Januar!DL30</f>
        <v/>
      </c>
      <c r="AD18" s="339" t="str">
        <f>Aar!X18</f>
        <v/>
      </c>
    </row>
    <row r="19" spans="1:30" ht="23" customHeight="1">
      <c r="A19" s="459">
        <f>August!A36</f>
        <v>17</v>
      </c>
      <c r="B19" s="460" t="str">
        <f>August!B36</f>
        <v>sø</v>
      </c>
      <c r="C19" s="501" t="str">
        <f>August!C36</f>
        <v>Weekend</v>
      </c>
      <c r="D19" s="502" t="str">
        <f>August!DL36</f>
        <v/>
      </c>
      <c r="E19" s="339" t="str">
        <f>Aar!D19</f>
        <v/>
      </c>
      <c r="F19" s="459">
        <f>September!A31</f>
        <v>17</v>
      </c>
      <c r="G19" s="460" t="str">
        <f>September!B31</f>
        <v>on</v>
      </c>
      <c r="H19" s="503" t="str">
        <f>September!C31</f>
        <v>Normal uge 1</v>
      </c>
      <c r="I19" s="502" t="str">
        <f>September!DL31</f>
        <v/>
      </c>
      <c r="J19" s="339" t="str">
        <f>Aar!H19</f>
        <v/>
      </c>
      <c r="K19" s="459">
        <f>Oktober!A31</f>
        <v>17</v>
      </c>
      <c r="L19" s="460" t="str">
        <f>Oktober!B31</f>
        <v>fr</v>
      </c>
      <c r="M19" s="503" t="str">
        <f>Oktober!C31</f>
        <v>Normal uge 1</v>
      </c>
      <c r="N19" s="504" t="str">
        <f>Oktober!DL31</f>
        <v/>
      </c>
      <c r="O19" s="339" t="str">
        <f>Aar!L19</f>
        <v/>
      </c>
      <c r="P19" s="459">
        <f>November!A31</f>
        <v>17</v>
      </c>
      <c r="Q19" s="460" t="str">
        <f>November!B31</f>
        <v>ma</v>
      </c>
      <c r="R19" s="503" t="str">
        <f>November!C31</f>
        <v>Normal uge 1</v>
      </c>
      <c r="S19" s="504" t="str">
        <f>November!DL31</f>
        <v/>
      </c>
      <c r="T19" s="338">
        <f>Aar!P19</f>
        <v>46.714285714285715</v>
      </c>
      <c r="U19" s="470">
        <f>December!A31</f>
        <v>17</v>
      </c>
      <c r="V19" s="505" t="str">
        <f>December!B31</f>
        <v>on</v>
      </c>
      <c r="W19" s="506" t="str">
        <f>December!C31</f>
        <v>Normal uge 1</v>
      </c>
      <c r="X19" s="502" t="str">
        <f>December!DL31</f>
        <v/>
      </c>
      <c r="Y19" s="339" t="str">
        <f>Aar!T19</f>
        <v/>
      </c>
      <c r="Z19" s="459">
        <f>Januar!A31</f>
        <v>17</v>
      </c>
      <c r="AA19" s="460" t="str">
        <f>Januar!B31</f>
        <v>lø</v>
      </c>
      <c r="AB19" s="503" t="str">
        <f>Januar!C31</f>
        <v>Weekend</v>
      </c>
      <c r="AC19" s="504" t="str">
        <f>Januar!DL31</f>
        <v/>
      </c>
      <c r="AD19" s="339" t="str">
        <f>Aar!X19</f>
        <v/>
      </c>
    </row>
    <row r="20" spans="1:30" ht="23" customHeight="1">
      <c r="A20" s="459">
        <f>August!A37</f>
        <v>18</v>
      </c>
      <c r="B20" s="460" t="str">
        <f>August!B37</f>
        <v>ma</v>
      </c>
      <c r="C20" s="501" t="str">
        <f>August!C37</f>
        <v>Normal uge 1</v>
      </c>
      <c r="D20" s="502" t="str">
        <f>August!DL37</f>
        <v/>
      </c>
      <c r="E20" s="339">
        <f>Aar!D20</f>
        <v>33.714285714285715</v>
      </c>
      <c r="F20" s="459">
        <f>September!A32</f>
        <v>18</v>
      </c>
      <c r="G20" s="460" t="str">
        <f>September!B32</f>
        <v>to</v>
      </c>
      <c r="H20" s="503" t="str">
        <f>September!C32</f>
        <v>Normal uge 1</v>
      </c>
      <c r="I20" s="502" t="str">
        <f>September!DL32</f>
        <v/>
      </c>
      <c r="J20" s="339" t="str">
        <f>Aar!H20</f>
        <v/>
      </c>
      <c r="K20" s="459">
        <f>Oktober!A32</f>
        <v>18</v>
      </c>
      <c r="L20" s="460" t="str">
        <f>Oktober!B32</f>
        <v>lø</v>
      </c>
      <c r="M20" s="503" t="str">
        <f>Oktober!C32</f>
        <v>Weekend</v>
      </c>
      <c r="N20" s="504" t="str">
        <f>Oktober!DL32</f>
        <v/>
      </c>
      <c r="O20" s="339" t="str">
        <f>Aar!L20</f>
        <v/>
      </c>
      <c r="P20" s="459">
        <f>November!A32</f>
        <v>18</v>
      </c>
      <c r="Q20" s="460" t="str">
        <f>November!B32</f>
        <v>ti</v>
      </c>
      <c r="R20" s="503" t="str">
        <f>November!C32</f>
        <v>Normal uge 1</v>
      </c>
      <c r="S20" s="504" t="str">
        <f>November!DL32</f>
        <v/>
      </c>
      <c r="T20" s="338" t="str">
        <f>Aar!P20</f>
        <v/>
      </c>
      <c r="U20" s="470">
        <f>December!A32</f>
        <v>18</v>
      </c>
      <c r="V20" s="505" t="str">
        <f>December!B32</f>
        <v>to</v>
      </c>
      <c r="W20" s="506" t="str">
        <f>December!C32</f>
        <v>Normal uge 1</v>
      </c>
      <c r="X20" s="502" t="str">
        <f>December!DL32</f>
        <v/>
      </c>
      <c r="Y20" s="339" t="str">
        <f>Aar!T20</f>
        <v/>
      </c>
      <c r="Z20" s="459">
        <f>Januar!A32</f>
        <v>18</v>
      </c>
      <c r="AA20" s="460" t="str">
        <f>Januar!B32</f>
        <v>sø</v>
      </c>
      <c r="AB20" s="503" t="str">
        <f>Januar!C32</f>
        <v>Weekend</v>
      </c>
      <c r="AC20" s="504" t="str">
        <f>Januar!DL32</f>
        <v/>
      </c>
      <c r="AD20" s="339" t="str">
        <f>Aar!X20</f>
        <v/>
      </c>
    </row>
    <row r="21" spans="1:30" ht="23" customHeight="1">
      <c r="A21" s="459">
        <f>August!A38</f>
        <v>19</v>
      </c>
      <c r="B21" s="460" t="str">
        <f>August!B38</f>
        <v>ti</v>
      </c>
      <c r="C21" s="501" t="str">
        <f>August!C38</f>
        <v>Normal uge 1</v>
      </c>
      <c r="D21" s="502" t="str">
        <f>August!DL38</f>
        <v/>
      </c>
      <c r="E21" s="339" t="str">
        <f>Aar!D21</f>
        <v/>
      </c>
      <c r="F21" s="459">
        <f>September!A33</f>
        <v>19</v>
      </c>
      <c r="G21" s="460" t="str">
        <f>September!B33</f>
        <v>fr</v>
      </c>
      <c r="H21" s="503" t="str">
        <f>September!C33</f>
        <v>Normal uge 1</v>
      </c>
      <c r="I21" s="502" t="str">
        <f>September!DL33</f>
        <v/>
      </c>
      <c r="J21" s="339" t="str">
        <f>Aar!H21</f>
        <v/>
      </c>
      <c r="K21" s="459">
        <f>Oktober!A33</f>
        <v>19</v>
      </c>
      <c r="L21" s="460" t="str">
        <f>Oktober!B33</f>
        <v>sø</v>
      </c>
      <c r="M21" s="503" t="str">
        <f>Oktober!C33</f>
        <v>Weekend</v>
      </c>
      <c r="N21" s="504" t="str">
        <f>Oktober!DL33</f>
        <v/>
      </c>
      <c r="O21" s="339" t="str">
        <f>Aar!L21</f>
        <v/>
      </c>
      <c r="P21" s="459">
        <f>November!A33</f>
        <v>19</v>
      </c>
      <c r="Q21" s="460" t="str">
        <f>November!B33</f>
        <v>on</v>
      </c>
      <c r="R21" s="503" t="str">
        <f>November!C33</f>
        <v>Normal uge 1</v>
      </c>
      <c r="S21" s="504" t="str">
        <f>November!DL33</f>
        <v/>
      </c>
      <c r="T21" s="338" t="str">
        <f>Aar!P21</f>
        <v/>
      </c>
      <c r="U21" s="470">
        <f>December!A33</f>
        <v>19</v>
      </c>
      <c r="V21" s="505" t="str">
        <f>December!B33</f>
        <v>fr</v>
      </c>
      <c r="W21" s="506" t="str">
        <f>December!C33</f>
        <v>Normal uge 1</v>
      </c>
      <c r="X21" s="502" t="str">
        <f>December!DL33</f>
        <v/>
      </c>
      <c r="Y21" s="339" t="str">
        <f>Aar!T21</f>
        <v/>
      </c>
      <c r="Z21" s="459">
        <f>Januar!A33</f>
        <v>19</v>
      </c>
      <c r="AA21" s="460" t="str">
        <f>Januar!B33</f>
        <v>ma</v>
      </c>
      <c r="AB21" s="503" t="str">
        <f>Januar!C33</f>
        <v>Normal uge 1</v>
      </c>
      <c r="AC21" s="504" t="str">
        <f>Januar!DL33</f>
        <v/>
      </c>
      <c r="AD21" s="339">
        <f>Aar!X21</f>
        <v>3.5714285714285716</v>
      </c>
    </row>
    <row r="22" spans="1:30" ht="23" customHeight="1">
      <c r="A22" s="459">
        <f>August!A39</f>
        <v>20</v>
      </c>
      <c r="B22" s="460" t="str">
        <f>August!B39</f>
        <v>on</v>
      </c>
      <c r="C22" s="501" t="str">
        <f>August!C39</f>
        <v>Normal uge 1</v>
      </c>
      <c r="D22" s="502" t="str">
        <f>August!DL39</f>
        <v/>
      </c>
      <c r="E22" s="339" t="str">
        <f>Aar!D22</f>
        <v/>
      </c>
      <c r="F22" s="459">
        <f>September!A34</f>
        <v>20</v>
      </c>
      <c r="G22" s="460" t="str">
        <f>September!B34</f>
        <v>lø</v>
      </c>
      <c r="H22" s="503" t="str">
        <f>September!C34</f>
        <v>Weekend</v>
      </c>
      <c r="I22" s="502" t="str">
        <f>September!DL34</f>
        <v/>
      </c>
      <c r="J22" s="339" t="str">
        <f>Aar!H22</f>
        <v/>
      </c>
      <c r="K22" s="459">
        <f>Oktober!A34</f>
        <v>20</v>
      </c>
      <c r="L22" s="460" t="str">
        <f>Oktober!B34</f>
        <v>ma</v>
      </c>
      <c r="M22" s="503" t="str">
        <f>Oktober!C34</f>
        <v>Normal uge 1</v>
      </c>
      <c r="N22" s="504" t="str">
        <f>Oktober!DL34</f>
        <v/>
      </c>
      <c r="O22" s="339">
        <f>Aar!L22</f>
        <v>42.714285714285715</v>
      </c>
      <c r="P22" s="459">
        <f>November!A34</f>
        <v>20</v>
      </c>
      <c r="Q22" s="460" t="str">
        <f>November!B34</f>
        <v>to</v>
      </c>
      <c r="R22" s="503" t="str">
        <f>November!C34</f>
        <v>Normal uge 1</v>
      </c>
      <c r="S22" s="504" t="str">
        <f>November!DL34</f>
        <v/>
      </c>
      <c r="T22" s="338" t="str">
        <f>Aar!P22</f>
        <v/>
      </c>
      <c r="U22" s="470">
        <f>December!A34</f>
        <v>20</v>
      </c>
      <c r="V22" s="505" t="str">
        <f>December!B34</f>
        <v>lø</v>
      </c>
      <c r="W22" s="506" t="str">
        <f>December!C34</f>
        <v>Weekend</v>
      </c>
      <c r="X22" s="502" t="str">
        <f>December!DL34</f>
        <v/>
      </c>
      <c r="Y22" s="339" t="str">
        <f>Aar!T22</f>
        <v/>
      </c>
      <c r="Z22" s="459">
        <f>Januar!A34</f>
        <v>20</v>
      </c>
      <c r="AA22" s="460" t="str">
        <f>Januar!B34</f>
        <v>ti</v>
      </c>
      <c r="AB22" s="503" t="str">
        <f>Januar!C34</f>
        <v>Normal uge 1</v>
      </c>
      <c r="AC22" s="504" t="str">
        <f>Januar!DL34</f>
        <v/>
      </c>
      <c r="AD22" s="339" t="str">
        <f>Aar!X22</f>
        <v/>
      </c>
    </row>
    <row r="23" spans="1:30" ht="23" customHeight="1">
      <c r="A23" s="459">
        <f>August!A40</f>
        <v>21</v>
      </c>
      <c r="B23" s="460" t="str">
        <f>August!B40</f>
        <v>to</v>
      </c>
      <c r="C23" s="501" t="str">
        <f>August!C40</f>
        <v>Normal uge 1</v>
      </c>
      <c r="D23" s="502" t="str">
        <f>August!DL40</f>
        <v/>
      </c>
      <c r="E23" s="339" t="str">
        <f>Aar!D23</f>
        <v/>
      </c>
      <c r="F23" s="459">
        <f>September!A35</f>
        <v>21</v>
      </c>
      <c r="G23" s="460" t="str">
        <f>September!B35</f>
        <v>sø</v>
      </c>
      <c r="H23" s="503" t="str">
        <f>September!C35</f>
        <v>Weekend</v>
      </c>
      <c r="I23" s="502" t="str">
        <f>September!DL35</f>
        <v/>
      </c>
      <c r="J23" s="339" t="str">
        <f>Aar!H23</f>
        <v/>
      </c>
      <c r="K23" s="459">
        <f>Oktober!A35</f>
        <v>21</v>
      </c>
      <c r="L23" s="460" t="str">
        <f>Oktober!B35</f>
        <v>ti</v>
      </c>
      <c r="M23" s="503" t="str">
        <f>Oktober!C35</f>
        <v>Normal uge 1</v>
      </c>
      <c r="N23" s="504" t="str">
        <f>Oktober!DL35</f>
        <v/>
      </c>
      <c r="O23" s="339" t="str">
        <f>Aar!L23</f>
        <v/>
      </c>
      <c r="P23" s="459">
        <f>November!A35</f>
        <v>21</v>
      </c>
      <c r="Q23" s="460" t="str">
        <f>November!B35</f>
        <v>fr</v>
      </c>
      <c r="R23" s="503" t="str">
        <f>November!C35</f>
        <v>Normal uge 1</v>
      </c>
      <c r="S23" s="504" t="str">
        <f>November!DL35</f>
        <v/>
      </c>
      <c r="T23" s="338" t="str">
        <f>Aar!P23</f>
        <v/>
      </c>
      <c r="U23" s="470">
        <f>December!A35</f>
        <v>21</v>
      </c>
      <c r="V23" s="505" t="str">
        <f>December!B35</f>
        <v>sø</v>
      </c>
      <c r="W23" s="506" t="str">
        <f>December!C35</f>
        <v>Weekend</v>
      </c>
      <c r="X23" s="502" t="str">
        <f>December!DL35</f>
        <v/>
      </c>
      <c r="Y23" s="339" t="str">
        <f>Aar!T23</f>
        <v/>
      </c>
      <c r="Z23" s="459">
        <f>Januar!A35</f>
        <v>21</v>
      </c>
      <c r="AA23" s="460" t="str">
        <f>Januar!B35</f>
        <v>on</v>
      </c>
      <c r="AB23" s="503" t="str">
        <f>Januar!C35</f>
        <v>Normal uge 1</v>
      </c>
      <c r="AC23" s="504" t="str">
        <f>Januar!DL35</f>
        <v/>
      </c>
      <c r="AD23" s="339" t="str">
        <f>Aar!X23</f>
        <v/>
      </c>
    </row>
    <row r="24" spans="1:30" ht="23" customHeight="1">
      <c r="A24" s="459">
        <f>August!A41</f>
        <v>22</v>
      </c>
      <c r="B24" s="460" t="str">
        <f>August!B41</f>
        <v>fr</v>
      </c>
      <c r="C24" s="501" t="str">
        <f>August!C41</f>
        <v>Normal uge 1</v>
      </c>
      <c r="D24" s="502" t="str">
        <f>August!DL41</f>
        <v/>
      </c>
      <c r="E24" s="339" t="str">
        <f>Aar!D24</f>
        <v/>
      </c>
      <c r="F24" s="459">
        <f>September!A36</f>
        <v>22</v>
      </c>
      <c r="G24" s="460" t="str">
        <f>September!B36</f>
        <v>ma</v>
      </c>
      <c r="H24" s="503" t="str">
        <f>September!C36</f>
        <v>Normal uge 1</v>
      </c>
      <c r="I24" s="502" t="str">
        <f>September!DL36</f>
        <v/>
      </c>
      <c r="J24" s="339">
        <f>Aar!H24</f>
        <v>38.714285714285715</v>
      </c>
      <c r="K24" s="459">
        <f>Oktober!A36</f>
        <v>22</v>
      </c>
      <c r="L24" s="460" t="str">
        <f>Oktober!B36</f>
        <v>on</v>
      </c>
      <c r="M24" s="503" t="str">
        <f>Oktober!C36</f>
        <v>Normal uge 1</v>
      </c>
      <c r="N24" s="504" t="str">
        <f>Oktober!DL36</f>
        <v/>
      </c>
      <c r="O24" s="339" t="str">
        <f>Aar!L24</f>
        <v/>
      </c>
      <c r="P24" s="459">
        <f>November!A36</f>
        <v>22</v>
      </c>
      <c r="Q24" s="460" t="str">
        <f>November!B36</f>
        <v>lø</v>
      </c>
      <c r="R24" s="503" t="str">
        <f>November!C36</f>
        <v>Weekend</v>
      </c>
      <c r="S24" s="504" t="str">
        <f>November!DL36</f>
        <v/>
      </c>
      <c r="T24" s="338" t="str">
        <f>Aar!P24</f>
        <v/>
      </c>
      <c r="U24" s="470">
        <f>December!A36</f>
        <v>22</v>
      </c>
      <c r="V24" s="505" t="str">
        <f>December!B36</f>
        <v>ma</v>
      </c>
      <c r="W24" s="506" t="str">
        <f>December!C36</f>
        <v>Normal uge 1</v>
      </c>
      <c r="X24" s="502" t="str">
        <f>December!DL36</f>
        <v/>
      </c>
      <c r="Y24" s="339">
        <f>Aar!T24</f>
        <v>51.714285714285715</v>
      </c>
      <c r="Z24" s="459">
        <f>Januar!A36</f>
        <v>22</v>
      </c>
      <c r="AA24" s="460" t="str">
        <f>Januar!B36</f>
        <v>to</v>
      </c>
      <c r="AB24" s="503" t="str">
        <f>Januar!C36</f>
        <v>Normal uge 1</v>
      </c>
      <c r="AC24" s="504" t="str">
        <f>Januar!DL36</f>
        <v/>
      </c>
      <c r="AD24" s="339" t="str">
        <f>Aar!X24</f>
        <v/>
      </c>
    </row>
    <row r="25" spans="1:30" ht="23" customHeight="1">
      <c r="A25" s="459">
        <f>August!A42</f>
        <v>23</v>
      </c>
      <c r="B25" s="460" t="str">
        <f>August!B42</f>
        <v>lø</v>
      </c>
      <c r="C25" s="501" t="str">
        <f>August!C42</f>
        <v>Weekend</v>
      </c>
      <c r="D25" s="502" t="str">
        <f>August!DL42</f>
        <v/>
      </c>
      <c r="E25" s="339" t="str">
        <f>Aar!D25</f>
        <v/>
      </c>
      <c r="F25" s="459">
        <f>September!A37</f>
        <v>23</v>
      </c>
      <c r="G25" s="460" t="str">
        <f>September!B37</f>
        <v>ti</v>
      </c>
      <c r="H25" s="503" t="str">
        <f>September!C37</f>
        <v>Normal uge 1</v>
      </c>
      <c r="I25" s="502" t="str">
        <f>September!DL37</f>
        <v/>
      </c>
      <c r="J25" s="339" t="str">
        <f>Aar!H25</f>
        <v/>
      </c>
      <c r="K25" s="459">
        <f>Oktober!A37</f>
        <v>23</v>
      </c>
      <c r="L25" s="460" t="str">
        <f>Oktober!B37</f>
        <v>to</v>
      </c>
      <c r="M25" s="503" t="str">
        <f>Oktober!C37</f>
        <v>Normal uge 1</v>
      </c>
      <c r="N25" s="504" t="str">
        <f>Oktober!DL37</f>
        <v/>
      </c>
      <c r="O25" s="339" t="str">
        <f>Aar!L25</f>
        <v/>
      </c>
      <c r="P25" s="459">
        <f>November!A37</f>
        <v>23</v>
      </c>
      <c r="Q25" s="460" t="str">
        <f>November!B37</f>
        <v>sø</v>
      </c>
      <c r="R25" s="503" t="str">
        <f>November!C37</f>
        <v>Weekend</v>
      </c>
      <c r="S25" s="504" t="str">
        <f>November!DL37</f>
        <v/>
      </c>
      <c r="T25" s="338" t="str">
        <f>Aar!P25</f>
        <v/>
      </c>
      <c r="U25" s="470">
        <f>December!A37</f>
        <v>23</v>
      </c>
      <c r="V25" s="505" t="str">
        <f>December!B37</f>
        <v>ti</v>
      </c>
      <c r="W25" s="506" t="str">
        <f>December!C37</f>
        <v>Normal uge 1</v>
      </c>
      <c r="X25" s="502" t="str">
        <f>December!DL37</f>
        <v/>
      </c>
      <c r="Y25" s="339" t="str">
        <f>Aar!T25</f>
        <v/>
      </c>
      <c r="Z25" s="459">
        <f>Januar!A37</f>
        <v>23</v>
      </c>
      <c r="AA25" s="460" t="str">
        <f>Januar!B37</f>
        <v>fr</v>
      </c>
      <c r="AB25" s="503" t="str">
        <f>Januar!C37</f>
        <v>Normal uge 1</v>
      </c>
      <c r="AC25" s="504" t="str">
        <f>Januar!DL37</f>
        <v/>
      </c>
      <c r="AD25" s="339" t="str">
        <f>Aar!X25</f>
        <v/>
      </c>
    </row>
    <row r="26" spans="1:30" ht="23" customHeight="1">
      <c r="A26" s="459">
        <f>August!A43</f>
        <v>24</v>
      </c>
      <c r="B26" s="460" t="str">
        <f>August!B43</f>
        <v>sø</v>
      </c>
      <c r="C26" s="501" t="str">
        <f>August!C43</f>
        <v>Weekend</v>
      </c>
      <c r="D26" s="502" t="str">
        <f>August!DL43</f>
        <v/>
      </c>
      <c r="E26" s="339" t="str">
        <f>Aar!D26</f>
        <v/>
      </c>
      <c r="F26" s="459">
        <f>September!A38</f>
        <v>24</v>
      </c>
      <c r="G26" s="460" t="str">
        <f>September!B38</f>
        <v>on</v>
      </c>
      <c r="H26" s="503" t="str">
        <f>September!C38</f>
        <v>Normal uge 1</v>
      </c>
      <c r="I26" s="502" t="str">
        <f>September!DL38</f>
        <v/>
      </c>
      <c r="J26" s="339" t="str">
        <f>Aar!H26</f>
        <v/>
      </c>
      <c r="K26" s="459">
        <f>Oktober!A38</f>
        <v>24</v>
      </c>
      <c r="L26" s="460" t="str">
        <f>Oktober!B38</f>
        <v>fr</v>
      </c>
      <c r="M26" s="503" t="str">
        <f>Oktober!C38</f>
        <v>Normal uge 1</v>
      </c>
      <c r="N26" s="504" t="str">
        <f>Oktober!DL38</f>
        <v/>
      </c>
      <c r="O26" s="339" t="str">
        <f>Aar!L26</f>
        <v/>
      </c>
      <c r="P26" s="459">
        <f>November!A38</f>
        <v>24</v>
      </c>
      <c r="Q26" s="460" t="str">
        <f>November!B38</f>
        <v>ma</v>
      </c>
      <c r="R26" s="503" t="str">
        <f>November!C38</f>
        <v>Normal uge 1</v>
      </c>
      <c r="S26" s="504" t="str">
        <f>November!DL38</f>
        <v/>
      </c>
      <c r="T26" s="338">
        <f>Aar!P26</f>
        <v>47.714285714285715</v>
      </c>
      <c r="U26" s="470">
        <f>December!A38</f>
        <v>24</v>
      </c>
      <c r="V26" s="505" t="str">
        <f>December!B38</f>
        <v>on</v>
      </c>
      <c r="W26" s="506" t="str">
        <f>December!C38</f>
        <v>Normal uge 1</v>
      </c>
      <c r="X26" s="502" t="str">
        <f>December!DL38</f>
        <v>Juleaftensdag</v>
      </c>
      <c r="Y26" s="339" t="str">
        <f>Aar!T26</f>
        <v/>
      </c>
      <c r="Z26" s="459">
        <f>Januar!A38</f>
        <v>24</v>
      </c>
      <c r="AA26" s="460" t="str">
        <f>Januar!B38</f>
        <v>lø</v>
      </c>
      <c r="AB26" s="503" t="str">
        <f>Januar!C38</f>
        <v>Weekend</v>
      </c>
      <c r="AC26" s="504" t="str">
        <f>Januar!DL38</f>
        <v/>
      </c>
      <c r="AD26" s="339" t="str">
        <f>Aar!X26</f>
        <v/>
      </c>
    </row>
    <row r="27" spans="1:30" ht="23" customHeight="1">
      <c r="A27" s="459">
        <f>August!A44</f>
        <v>25</v>
      </c>
      <c r="B27" s="460" t="str">
        <f>August!B44</f>
        <v>ma</v>
      </c>
      <c r="C27" s="501" t="str">
        <f>August!C44</f>
        <v>Normal uge 1</v>
      </c>
      <c r="D27" s="502" t="str">
        <f>August!DL44</f>
        <v/>
      </c>
      <c r="E27" s="339">
        <f>Aar!D27</f>
        <v>34.714285714285715</v>
      </c>
      <c r="F27" s="459">
        <f>September!A39</f>
        <v>25</v>
      </c>
      <c r="G27" s="460" t="str">
        <f>September!B39</f>
        <v>to</v>
      </c>
      <c r="H27" s="503" t="str">
        <f>September!C39</f>
        <v>Normal uge 1</v>
      </c>
      <c r="I27" s="502" t="str">
        <f>September!DL39</f>
        <v/>
      </c>
      <c r="J27" s="339" t="str">
        <f>Aar!H27</f>
        <v/>
      </c>
      <c r="K27" s="459">
        <f>Oktober!A39</f>
        <v>25</v>
      </c>
      <c r="L27" s="460" t="str">
        <f>Oktober!B39</f>
        <v>lø</v>
      </c>
      <c r="M27" s="503" t="str">
        <f>Oktober!C39</f>
        <v>Weekend</v>
      </c>
      <c r="N27" s="504" t="str">
        <f>Oktober!DL39</f>
        <v/>
      </c>
      <c r="O27" s="339" t="str">
        <f>Aar!L27</f>
        <v/>
      </c>
      <c r="P27" s="459">
        <f>November!A39</f>
        <v>25</v>
      </c>
      <c r="Q27" s="460" t="str">
        <f>November!B39</f>
        <v>ti</v>
      </c>
      <c r="R27" s="503" t="str">
        <f>November!C39</f>
        <v>Normal uge 1</v>
      </c>
      <c r="S27" s="504" t="str">
        <f>November!DL39</f>
        <v/>
      </c>
      <c r="T27" s="338" t="str">
        <f>Aar!P27</f>
        <v/>
      </c>
      <c r="U27" s="470">
        <f>December!A39</f>
        <v>25</v>
      </c>
      <c r="V27" s="505" t="str">
        <f>December!B39</f>
        <v>to</v>
      </c>
      <c r="W27" s="506" t="str">
        <f>December!C39</f>
        <v>SH-dag</v>
      </c>
      <c r="X27" s="502" t="str">
        <f>December!DL39</f>
        <v>Juledag</v>
      </c>
      <c r="Y27" s="339" t="str">
        <f>Aar!T27</f>
        <v/>
      </c>
      <c r="Z27" s="459">
        <f>Januar!A39</f>
        <v>25</v>
      </c>
      <c r="AA27" s="460" t="str">
        <f>Januar!B39</f>
        <v>sø</v>
      </c>
      <c r="AB27" s="503" t="str">
        <f>Januar!C39</f>
        <v>Weekend</v>
      </c>
      <c r="AC27" s="504" t="str">
        <f>Januar!DL39</f>
        <v/>
      </c>
      <c r="AD27" s="339" t="str">
        <f>Aar!X27</f>
        <v/>
      </c>
    </row>
    <row r="28" spans="1:30" ht="23" customHeight="1">
      <c r="A28" s="459">
        <f>August!A45</f>
        <v>26</v>
      </c>
      <c r="B28" s="460" t="str">
        <f>August!B45</f>
        <v>ti</v>
      </c>
      <c r="C28" s="501" t="str">
        <f>August!C45</f>
        <v>Normal uge 1</v>
      </c>
      <c r="D28" s="502" t="str">
        <f>August!DL45</f>
        <v/>
      </c>
      <c r="E28" s="339" t="str">
        <f>Aar!D28</f>
        <v/>
      </c>
      <c r="F28" s="459">
        <f>September!A40</f>
        <v>26</v>
      </c>
      <c r="G28" s="460" t="str">
        <f>September!B40</f>
        <v>fr</v>
      </c>
      <c r="H28" s="503" t="str">
        <f>September!C40</f>
        <v>Normal uge 1</v>
      </c>
      <c r="I28" s="502" t="str">
        <f>September!DL40</f>
        <v/>
      </c>
      <c r="J28" s="339" t="str">
        <f>Aar!H28</f>
        <v/>
      </c>
      <c r="K28" s="459">
        <f>Oktober!A40</f>
        <v>26</v>
      </c>
      <c r="L28" s="460" t="str">
        <f>Oktober!B40</f>
        <v>sø</v>
      </c>
      <c r="M28" s="503" t="str">
        <f>Oktober!C40</f>
        <v>Weekend</v>
      </c>
      <c r="N28" s="504" t="str">
        <f>Oktober!DL40</f>
        <v/>
      </c>
      <c r="O28" s="339" t="str">
        <f>Aar!L28</f>
        <v/>
      </c>
      <c r="P28" s="459">
        <f>November!A40</f>
        <v>26</v>
      </c>
      <c r="Q28" s="460" t="str">
        <f>November!B40</f>
        <v>on</v>
      </c>
      <c r="R28" s="503" t="str">
        <f>November!C40</f>
        <v>Normal uge 1</v>
      </c>
      <c r="S28" s="504" t="str">
        <f>November!DL40</f>
        <v/>
      </c>
      <c r="T28" s="338" t="str">
        <f>Aar!P28</f>
        <v/>
      </c>
      <c r="U28" s="470">
        <f>December!A40</f>
        <v>26</v>
      </c>
      <c r="V28" s="505" t="str">
        <f>December!B40</f>
        <v>fr</v>
      </c>
      <c r="W28" s="506" t="str">
        <f>December!C40</f>
        <v>SH-dag</v>
      </c>
      <c r="X28" s="502" t="str">
        <f>December!DL40</f>
        <v>2. juledag</v>
      </c>
      <c r="Y28" s="339" t="str">
        <f>Aar!T28</f>
        <v/>
      </c>
      <c r="Z28" s="459">
        <f>Januar!A40</f>
        <v>26</v>
      </c>
      <c r="AA28" s="460" t="str">
        <f>Januar!B40</f>
        <v>ma</v>
      </c>
      <c r="AB28" s="503" t="str">
        <f>Januar!C40</f>
        <v>Normal uge 1</v>
      </c>
      <c r="AC28" s="504" t="str">
        <f>Januar!DL40</f>
        <v/>
      </c>
      <c r="AD28" s="339">
        <f>Aar!X28</f>
        <v>4.5714285714285712</v>
      </c>
    </row>
    <row r="29" spans="1:30" ht="23" customHeight="1">
      <c r="A29" s="459">
        <f>August!A46</f>
        <v>27</v>
      </c>
      <c r="B29" s="460" t="str">
        <f>August!B46</f>
        <v>on</v>
      </c>
      <c r="C29" s="501" t="str">
        <f>August!C46</f>
        <v>Normal uge 1</v>
      </c>
      <c r="D29" s="502" t="str">
        <f>August!DL46</f>
        <v/>
      </c>
      <c r="E29" s="339" t="str">
        <f>Aar!D29</f>
        <v/>
      </c>
      <c r="F29" s="459">
        <f>September!A41</f>
        <v>27</v>
      </c>
      <c r="G29" s="460" t="str">
        <f>September!B41</f>
        <v>lø</v>
      </c>
      <c r="H29" s="503" t="str">
        <f>September!C41</f>
        <v>Weekend</v>
      </c>
      <c r="I29" s="502" t="str">
        <f>September!DL41</f>
        <v/>
      </c>
      <c r="J29" s="339" t="str">
        <f>Aar!H29</f>
        <v/>
      </c>
      <c r="K29" s="459">
        <f>Oktober!A41</f>
        <v>27</v>
      </c>
      <c r="L29" s="460" t="str">
        <f>Oktober!B41</f>
        <v>ma</v>
      </c>
      <c r="M29" s="503" t="str">
        <f>Oktober!C41</f>
        <v>Normal uge 1</v>
      </c>
      <c r="N29" s="504" t="str">
        <f>Oktober!DL41</f>
        <v/>
      </c>
      <c r="O29" s="339">
        <f>Aar!L29</f>
        <v>43.714285714285715</v>
      </c>
      <c r="P29" s="459">
        <f>November!A41</f>
        <v>27</v>
      </c>
      <c r="Q29" s="460" t="str">
        <f>November!B41</f>
        <v>to</v>
      </c>
      <c r="R29" s="503" t="str">
        <f>November!C41</f>
        <v>Normal uge 1</v>
      </c>
      <c r="S29" s="504" t="str">
        <f>November!DL41</f>
        <v/>
      </c>
      <c r="T29" s="338" t="str">
        <f>Aar!P29</f>
        <v/>
      </c>
      <c r="U29" s="470">
        <f>December!A41</f>
        <v>27</v>
      </c>
      <c r="V29" s="505" t="str">
        <f>December!B41</f>
        <v>lø</v>
      </c>
      <c r="W29" s="506" t="str">
        <f>December!C41</f>
        <v>Weekend</v>
      </c>
      <c r="X29" s="502" t="str">
        <f>December!DL41</f>
        <v/>
      </c>
      <c r="Y29" s="339" t="str">
        <f>Aar!T29</f>
        <v/>
      </c>
      <c r="Z29" s="459">
        <f>Januar!A41</f>
        <v>27</v>
      </c>
      <c r="AA29" s="460" t="str">
        <f>Januar!B41</f>
        <v>ti</v>
      </c>
      <c r="AB29" s="503" t="str">
        <f>Januar!C41</f>
        <v>Normal uge 1</v>
      </c>
      <c r="AC29" s="504" t="str">
        <f>Januar!DL41</f>
        <v/>
      </c>
      <c r="AD29" s="339" t="str">
        <f>Aar!X29</f>
        <v/>
      </c>
    </row>
    <row r="30" spans="1:30" ht="23" customHeight="1">
      <c r="A30" s="459">
        <f>August!A47</f>
        <v>28</v>
      </c>
      <c r="B30" s="460" t="str">
        <f>August!B47</f>
        <v>to</v>
      </c>
      <c r="C30" s="501" t="str">
        <f>August!C47</f>
        <v>Normal uge 1</v>
      </c>
      <c r="D30" s="502" t="str">
        <f>August!DL47</f>
        <v/>
      </c>
      <c r="E30" s="339" t="str">
        <f>Aar!D30</f>
        <v/>
      </c>
      <c r="F30" s="459">
        <f>September!A42</f>
        <v>28</v>
      </c>
      <c r="G30" s="460" t="str">
        <f>September!B42</f>
        <v>sø</v>
      </c>
      <c r="H30" s="503" t="str">
        <f>September!C42</f>
        <v>Weekend</v>
      </c>
      <c r="I30" s="502" t="str">
        <f>September!DL42</f>
        <v/>
      </c>
      <c r="J30" s="339" t="str">
        <f>Aar!H30</f>
        <v/>
      </c>
      <c r="K30" s="459">
        <f>Oktober!A42</f>
        <v>28</v>
      </c>
      <c r="L30" s="460" t="str">
        <f>Oktober!B42</f>
        <v>ti</v>
      </c>
      <c r="M30" s="503" t="str">
        <f>Oktober!C42</f>
        <v>Normal uge 1</v>
      </c>
      <c r="N30" s="504" t="str">
        <f>Oktober!DL42</f>
        <v/>
      </c>
      <c r="O30" s="339" t="str">
        <f>Aar!L30</f>
        <v/>
      </c>
      <c r="P30" s="459">
        <f>November!A42</f>
        <v>28</v>
      </c>
      <c r="Q30" s="460" t="str">
        <f>November!B42</f>
        <v>fr</v>
      </c>
      <c r="R30" s="503" t="str">
        <f>November!C42</f>
        <v>Normal uge 1</v>
      </c>
      <c r="S30" s="504" t="str">
        <f>November!DL42</f>
        <v/>
      </c>
      <c r="T30" s="338" t="str">
        <f>Aar!P30</f>
        <v/>
      </c>
      <c r="U30" s="470">
        <f>December!A42</f>
        <v>28</v>
      </c>
      <c r="V30" s="505" t="str">
        <f>December!B42</f>
        <v>sø</v>
      </c>
      <c r="W30" s="506" t="str">
        <f>December!C42</f>
        <v>Weekend</v>
      </c>
      <c r="X30" s="502" t="str">
        <f>December!DL42</f>
        <v/>
      </c>
      <c r="Y30" s="339" t="str">
        <f>Aar!T30</f>
        <v/>
      </c>
      <c r="Z30" s="459">
        <f>Januar!A42</f>
        <v>28</v>
      </c>
      <c r="AA30" s="460" t="str">
        <f>Januar!B42</f>
        <v>on</v>
      </c>
      <c r="AB30" s="503" t="str">
        <f>Januar!C42</f>
        <v>Normal uge 1</v>
      </c>
      <c r="AC30" s="504" t="str">
        <f>Januar!DL42</f>
        <v/>
      </c>
      <c r="AD30" s="339" t="str">
        <f>Aar!X30</f>
        <v/>
      </c>
    </row>
    <row r="31" spans="1:30" ht="23" customHeight="1">
      <c r="A31" s="459">
        <f>August!A48</f>
        <v>29</v>
      </c>
      <c r="B31" s="460" t="str">
        <f>August!B48</f>
        <v>fr</v>
      </c>
      <c r="C31" s="501" t="str">
        <f>August!C48</f>
        <v>Normal uge 1</v>
      </c>
      <c r="D31" s="502" t="str">
        <f>August!DL48</f>
        <v/>
      </c>
      <c r="E31" s="339" t="str">
        <f>Aar!D31</f>
        <v/>
      </c>
      <c r="F31" s="459">
        <f>September!A43</f>
        <v>29</v>
      </c>
      <c r="G31" s="460" t="str">
        <f>September!B43</f>
        <v>ma</v>
      </c>
      <c r="H31" s="503" t="str">
        <f>September!C43</f>
        <v>Normal uge 1</v>
      </c>
      <c r="I31" s="502" t="str">
        <f>September!DL43</f>
        <v/>
      </c>
      <c r="J31" s="339">
        <f>Aar!H31</f>
        <v>39.714285714285715</v>
      </c>
      <c r="K31" s="459">
        <f>Oktober!A43</f>
        <v>29</v>
      </c>
      <c r="L31" s="460" t="str">
        <f>Oktober!B43</f>
        <v>on</v>
      </c>
      <c r="M31" s="503" t="str">
        <f>Oktober!C43</f>
        <v>Normal uge 1</v>
      </c>
      <c r="N31" s="504" t="str">
        <f>Oktober!DL43</f>
        <v/>
      </c>
      <c r="O31" s="339" t="str">
        <f>Aar!L31</f>
        <v/>
      </c>
      <c r="P31" s="459">
        <f>November!A43</f>
        <v>29</v>
      </c>
      <c r="Q31" s="460" t="str">
        <f>November!B43</f>
        <v>lø</v>
      </c>
      <c r="R31" s="503" t="str">
        <f>November!C43</f>
        <v>Weekend</v>
      </c>
      <c r="S31" s="504" t="str">
        <f>November!DL43</f>
        <v/>
      </c>
      <c r="T31" s="338" t="str">
        <f>Aar!P31</f>
        <v/>
      </c>
      <c r="U31" s="470">
        <f>December!A43</f>
        <v>29</v>
      </c>
      <c r="V31" s="505" t="str">
        <f>December!B43</f>
        <v>ma</v>
      </c>
      <c r="W31" s="506" t="str">
        <f>December!C43</f>
        <v>Normal uge 1</v>
      </c>
      <c r="X31" s="502" t="str">
        <f>December!DL43</f>
        <v/>
      </c>
      <c r="Y31" s="339">
        <f>Aar!T31</f>
        <v>52.714285714285715</v>
      </c>
      <c r="Z31" s="459">
        <f>Januar!A43</f>
        <v>29</v>
      </c>
      <c r="AA31" s="460" t="str">
        <f>Januar!B43</f>
        <v>to</v>
      </c>
      <c r="AB31" s="503" t="str">
        <f>Januar!C43</f>
        <v>Normal uge 1</v>
      </c>
      <c r="AC31" s="504" t="str">
        <f>Januar!DL43</f>
        <v/>
      </c>
      <c r="AD31" s="339" t="str">
        <f>Aar!X31</f>
        <v/>
      </c>
    </row>
    <row r="32" spans="1:30" ht="23" customHeight="1">
      <c r="A32" s="459">
        <f>August!A49</f>
        <v>30</v>
      </c>
      <c r="B32" s="460" t="str">
        <f>August!B49</f>
        <v>lø</v>
      </c>
      <c r="C32" s="501" t="str">
        <f>August!C49</f>
        <v>Weekend</v>
      </c>
      <c r="D32" s="502" t="str">
        <f>August!DL49</f>
        <v/>
      </c>
      <c r="E32" s="339" t="str">
        <f>Aar!D32</f>
        <v/>
      </c>
      <c r="F32" s="459">
        <f>September!A44</f>
        <v>30</v>
      </c>
      <c r="G32" s="460" t="str">
        <f>September!B44</f>
        <v>ti</v>
      </c>
      <c r="H32" s="503" t="str">
        <f>September!C44</f>
        <v>Normal uge 1</v>
      </c>
      <c r="I32" s="502" t="str">
        <f>September!DL44</f>
        <v/>
      </c>
      <c r="J32" s="339" t="str">
        <f>Aar!H32</f>
        <v/>
      </c>
      <c r="K32" s="459">
        <f>Oktober!A44</f>
        <v>30</v>
      </c>
      <c r="L32" s="460" t="str">
        <f>Oktober!B44</f>
        <v>to</v>
      </c>
      <c r="M32" s="503" t="str">
        <f>Oktober!C44</f>
        <v>Normal uge 1</v>
      </c>
      <c r="N32" s="504" t="str">
        <f>Oktober!DL44</f>
        <v/>
      </c>
      <c r="O32" s="339" t="str">
        <f>Aar!L32</f>
        <v/>
      </c>
      <c r="P32" s="459">
        <f>November!A44</f>
        <v>30</v>
      </c>
      <c r="Q32" s="460" t="str">
        <f>November!B44</f>
        <v>sø</v>
      </c>
      <c r="R32" s="503" t="str">
        <f>November!C44</f>
        <v>Weekend</v>
      </c>
      <c r="S32" s="504" t="str">
        <f>November!DL44</f>
        <v/>
      </c>
      <c r="T32" s="338" t="str">
        <f>Aar!P32</f>
        <v/>
      </c>
      <c r="U32" s="470">
        <f>December!A44</f>
        <v>30</v>
      </c>
      <c r="V32" s="505" t="str">
        <f>December!B44</f>
        <v>ti</v>
      </c>
      <c r="W32" s="506" t="str">
        <f>December!C44</f>
        <v>Normal uge 1</v>
      </c>
      <c r="X32" s="502" t="str">
        <f>December!DL44</f>
        <v/>
      </c>
      <c r="Y32" s="339">
        <f>Aar!T32</f>
        <v>1</v>
      </c>
      <c r="Z32" s="459">
        <f>Januar!A44</f>
        <v>30</v>
      </c>
      <c r="AA32" s="460" t="str">
        <f>Januar!B44</f>
        <v>fr</v>
      </c>
      <c r="AB32" s="503" t="str">
        <f>Januar!C44</f>
        <v>Normal uge 1</v>
      </c>
      <c r="AC32" s="504" t="str">
        <f>Januar!DL44</f>
        <v/>
      </c>
      <c r="AD32" s="339" t="str">
        <f>Aar!X32</f>
        <v/>
      </c>
    </row>
    <row r="33" spans="1:30" ht="23" customHeight="1">
      <c r="A33" s="459">
        <f>August!A50</f>
        <v>31</v>
      </c>
      <c r="B33" s="460" t="str">
        <f>August!B50</f>
        <v>sø</v>
      </c>
      <c r="C33" s="501" t="str">
        <f>August!C50</f>
        <v>Weekend</v>
      </c>
      <c r="D33" s="502" t="str">
        <f>August!DL50</f>
        <v/>
      </c>
      <c r="E33" s="339" t="str">
        <f>Aar!D33</f>
        <v/>
      </c>
      <c r="F33" s="52"/>
      <c r="G33" s="52"/>
      <c r="H33" s="53"/>
      <c r="I33" s="53"/>
      <c r="J33" s="268"/>
      <c r="K33" s="459">
        <f>Oktober!A45</f>
        <v>31</v>
      </c>
      <c r="L33" s="460" t="str">
        <f>Oktober!B45</f>
        <v>fr</v>
      </c>
      <c r="M33" s="503" t="str">
        <f>Oktober!C45</f>
        <v>Normal uge 1</v>
      </c>
      <c r="N33" s="504" t="str">
        <f>Oktober!DL45</f>
        <v/>
      </c>
      <c r="O33" s="339" t="str">
        <f>Aar!L33</f>
        <v/>
      </c>
      <c r="P33" s="52"/>
      <c r="Q33" s="52"/>
      <c r="R33" s="53"/>
      <c r="S33" s="53"/>
      <c r="T33" s="269"/>
      <c r="U33" s="470">
        <f>December!A45</f>
        <v>31</v>
      </c>
      <c r="V33" s="505" t="str">
        <f>December!B45</f>
        <v>on</v>
      </c>
      <c r="W33" s="506" t="str">
        <f>December!C45</f>
        <v>Normal uge 1</v>
      </c>
      <c r="X33" s="502" t="str">
        <f>December!DL45</f>
        <v/>
      </c>
      <c r="Y33" s="339" t="str">
        <f>Aar!T33</f>
        <v/>
      </c>
      <c r="Z33" s="459">
        <f>Januar!A45</f>
        <v>31</v>
      </c>
      <c r="AA33" s="460" t="str">
        <f>Januar!B45</f>
        <v>lø</v>
      </c>
      <c r="AB33" s="503" t="str">
        <f>Januar!C45</f>
        <v>Weekend</v>
      </c>
      <c r="AC33" s="504" t="str">
        <f>Januar!DL45</f>
        <v/>
      </c>
      <c r="AD33" s="339" t="str">
        <f>Aar!X33</f>
        <v/>
      </c>
    </row>
    <row r="34" spans="1:30" ht="23" customHeight="1">
      <c r="A34" s="44"/>
      <c r="B34" s="44"/>
      <c r="C34" s="44">
        <f>Aar!B34</f>
        <v>21</v>
      </c>
      <c r="D34" s="44" t="str">
        <f>Aar!C34</f>
        <v xml:space="preserve"> arbejdsdage</v>
      </c>
      <c r="E34" s="44"/>
      <c r="F34" s="44"/>
      <c r="G34" s="44"/>
      <c r="H34" s="44">
        <f>Aar!F34</f>
        <v>22</v>
      </c>
      <c r="I34" s="44" t="str">
        <f>Aar!G34</f>
        <v xml:space="preserve"> arbejdsdage</v>
      </c>
      <c r="J34" s="44">
        <f>Aar!H34</f>
        <v>0</v>
      </c>
      <c r="K34" s="44">
        <f>Aar!I34</f>
        <v>0</v>
      </c>
      <c r="L34" s="44"/>
      <c r="M34" s="44">
        <f>Aar!J34</f>
        <v>23</v>
      </c>
      <c r="N34" s="44" t="str">
        <f>Aar!K34</f>
        <v xml:space="preserve"> arbejdsdage</v>
      </c>
      <c r="O34" s="44">
        <f>Aar!M34</f>
        <v>0</v>
      </c>
      <c r="P34" s="44"/>
      <c r="Q34" s="44"/>
      <c r="R34" s="44">
        <f>Aar!N34</f>
        <v>20</v>
      </c>
      <c r="S34" s="44" t="str">
        <f>Aar!O34</f>
        <v xml:space="preserve"> arbejdsdage</v>
      </c>
      <c r="T34" s="44"/>
      <c r="U34" s="44"/>
      <c r="V34" s="44"/>
      <c r="W34" s="44">
        <f>Aar!R34</f>
        <v>21</v>
      </c>
      <c r="X34" s="44" t="str">
        <f>Aar!S34</f>
        <v xml:space="preserve"> arbejdsdage</v>
      </c>
      <c r="Y34" s="44"/>
      <c r="Z34" s="60"/>
      <c r="AA34" s="60"/>
      <c r="AB34" s="44">
        <f>Aar!V34</f>
        <v>21</v>
      </c>
      <c r="AC34" s="44" t="str">
        <f>Aar!W34</f>
        <v xml:space="preserve"> arbejdsdage</v>
      </c>
      <c r="AD34" s="59"/>
    </row>
    <row r="35" spans="1:30" ht="15" customHeight="1">
      <c r="B35" s="49"/>
      <c r="C35" s="47"/>
      <c r="D35" s="47"/>
      <c r="E35" s="48"/>
      <c r="G35" s="49"/>
      <c r="H35" s="47"/>
      <c r="I35" s="47"/>
      <c r="J35" s="50"/>
      <c r="K35" s="49"/>
      <c r="L35" s="47"/>
      <c r="M35" s="48"/>
      <c r="N35" s="48"/>
      <c r="O35" s="48"/>
      <c r="P35" s="49"/>
      <c r="Q35" s="47"/>
      <c r="R35" s="50"/>
      <c r="S35" s="50"/>
      <c r="T35" s="49"/>
      <c r="U35" s="47"/>
      <c r="W35" s="48"/>
      <c r="X35" s="48"/>
      <c r="Y35" s="49"/>
      <c r="Z35" s="47"/>
      <c r="AA35" s="37"/>
      <c r="AB35" s="37"/>
      <c r="AC35" s="37"/>
      <c r="AD35" s="37"/>
    </row>
    <row r="36" spans="1:30" ht="15" customHeight="1"/>
  </sheetData>
  <sheetProtection sheet="1" formatCells="0" formatColumns="0" formatRows="0" insertColumns="0"/>
  <phoneticPr fontId="4" type="noConversion"/>
  <conditionalFormatting sqref="J3:J32">
    <cfRule type="expression" dxfId="485" priority="235">
      <formula>OR(#REF!="Skema 2")</formula>
    </cfRule>
    <cfRule type="expression" dxfId="484" priority="246">
      <formula>OR(#REF!="Ikke relevant")</formula>
    </cfRule>
    <cfRule type="expression" dxfId="483" priority="237">
      <formula>OR(#REF!="Skema 4")</formula>
    </cfRule>
    <cfRule type="expression" dxfId="482" priority="236">
      <formula>OR(#REF!="Skema 3")</formula>
    </cfRule>
    <cfRule type="expression" dxfId="481" priority="234">
      <formula>OR(#REF!="Skema 1")</formula>
    </cfRule>
    <cfRule type="expression" dxfId="480" priority="298">
      <formula>OR(#REF!="pæd.dag")</formula>
    </cfRule>
    <cfRule type="expression" dxfId="479" priority="299">
      <formula>OR(#REF!="nul-dag")</formula>
    </cfRule>
    <cfRule type="expression" dxfId="478" priority="300">
      <formula>OR(#REF!="SH-dag")</formula>
    </cfRule>
    <cfRule type="expression" dxfId="477" priority="301">
      <formula>OR(#REF!="ekskursion")</formula>
    </cfRule>
    <cfRule type="expression" dxfId="476" priority="317" stopIfTrue="1">
      <formula>OR(#REF!="Orlov")</formula>
    </cfRule>
    <cfRule type="expression" dxfId="475" priority="316">
      <formula>OR(#REF!="weekend")</formula>
    </cfRule>
    <cfRule type="expression" dxfId="474" priority="315">
      <formula>OR(#REF!="feriedag")</formula>
    </cfRule>
    <cfRule type="expression" dxfId="473" priority="314">
      <formula>OR(#REF!="fagdag")</formula>
    </cfRule>
    <cfRule type="expression" dxfId="472" priority="313">
      <formula>OR(#REF!="emnedag")</formula>
    </cfRule>
    <cfRule type="expression" dxfId="471" priority="302">
      <formula>OR(#REF!="lejrskole")</formula>
    </cfRule>
  </conditionalFormatting>
  <conditionalFormatting sqref="O3:O33">
    <cfRule type="expression" dxfId="447" priority="231">
      <formula>OR(#REF!="Skema 2")</formula>
    </cfRule>
    <cfRule type="expression" dxfId="446" priority="230">
      <formula>OR(#REF!="Skema 1")</formula>
    </cfRule>
    <cfRule type="expression" dxfId="445" priority="232">
      <formula>OR(#REF!="Skema 3")</formula>
    </cfRule>
    <cfRule type="expression" dxfId="444" priority="233">
      <formula>OR(#REF!="Skema 4")</formula>
    </cfRule>
    <cfRule type="expression" dxfId="443" priority="245">
      <formula>OR(#REF!="Ikke relevant")</formula>
    </cfRule>
    <cfRule type="expression" dxfId="442" priority="287" stopIfTrue="1">
      <formula>OR(#REF!="Orlov")</formula>
    </cfRule>
    <cfRule type="expression" dxfId="441" priority="286">
      <formula>OR(#REF!="weekend")</formula>
    </cfRule>
    <cfRule type="expression" dxfId="440" priority="285">
      <formula>OR(#REF!="feriedag")</formula>
    </cfRule>
    <cfRule type="expression" dxfId="439" priority="284">
      <formula>OR(#REF!="fagdag")</formula>
    </cfRule>
    <cfRule type="expression" dxfId="438" priority="283">
      <formula>OR(#REF!="emnedag")</formula>
    </cfRule>
    <cfRule type="expression" dxfId="437" priority="282">
      <formula>OR(#REF!="lejrskole")</formula>
    </cfRule>
    <cfRule type="expression" dxfId="436" priority="281">
      <formula>OR(#REF!="ekskursion")</formula>
    </cfRule>
    <cfRule type="expression" dxfId="435" priority="280">
      <formula>OR(#REF!="SH-dag")</formula>
    </cfRule>
    <cfRule type="expression" dxfId="434" priority="279">
      <formula>OR(#REF!="nul-dag")</formula>
    </cfRule>
    <cfRule type="expression" dxfId="433" priority="278">
      <formula>OR(#REF!="pæd.dag")</formula>
    </cfRule>
  </conditionalFormatting>
  <conditionalFormatting sqref="T3:T32">
    <cfRule type="expression" dxfId="409" priority="226">
      <formula>OR(#REF!="Skema 1")</formula>
    </cfRule>
    <cfRule type="expression" dxfId="408" priority="275">
      <formula>OR(#REF!="feriedag")</formula>
    </cfRule>
    <cfRule type="expression" dxfId="407" priority="274">
      <formula>OR(#REF!="fagdag")</formula>
    </cfRule>
    <cfRule type="expression" dxfId="406" priority="273">
      <formula>OR(#REF!="emnedag")</formula>
    </cfRule>
    <cfRule type="expression" dxfId="405" priority="272">
      <formula>OR(#REF!="lejrskole")</formula>
    </cfRule>
    <cfRule type="expression" dxfId="404" priority="271">
      <formula>OR(#REF!="ekskursion")</formula>
    </cfRule>
    <cfRule type="expression" dxfId="403" priority="270">
      <formula>OR(#REF!="SH-dag")</formula>
    </cfRule>
    <cfRule type="expression" dxfId="402" priority="269">
      <formula>OR(#REF!="nul-dag")</formula>
    </cfRule>
    <cfRule type="expression" dxfId="401" priority="268">
      <formula>OR(#REF!="pæd.dag")</formula>
    </cfRule>
    <cfRule type="expression" dxfId="400" priority="227">
      <formula>OR(#REF!="Skema 2")</formula>
    </cfRule>
    <cfRule type="expression" dxfId="399" priority="244">
      <formula>OR(#REF!="Ikke relevant")</formula>
    </cfRule>
    <cfRule type="expression" dxfId="398" priority="229">
      <formula>OR(#REF!="Skema 4")</formula>
    </cfRule>
    <cfRule type="expression" dxfId="397" priority="276">
      <formula>OR(#REF!="weekend")</formula>
    </cfRule>
    <cfRule type="expression" dxfId="396" priority="228">
      <formula>OR(#REF!="Skema 3")</formula>
    </cfRule>
    <cfRule type="expression" dxfId="395" priority="277" stopIfTrue="1">
      <formula>OR(#REF!="Orlov")</formula>
    </cfRule>
  </conditionalFormatting>
  <conditionalFormatting sqref="Y3:Y33">
    <cfRule type="expression" dxfId="371" priority="79" stopIfTrue="1">
      <formula>OR($C3="Rul 3")</formula>
    </cfRule>
    <cfRule type="expression" dxfId="370" priority="258">
      <formula>OR(#REF!="pæd.dag")</formula>
    </cfRule>
    <cfRule type="expression" dxfId="369" priority="80" stopIfTrue="1">
      <formula>OR($C3="Rul 1")</formula>
    </cfRule>
    <cfRule type="expression" dxfId="368" priority="81">
      <formula>OR($C3="Normal uge 1")</formula>
    </cfRule>
    <cfRule type="expression" dxfId="367" priority="82">
      <formula>OR($C3="Orlov")</formula>
    </cfRule>
    <cfRule type="expression" dxfId="366" priority="83">
      <formula>OR($C3="Normal uge 2")</formula>
    </cfRule>
    <cfRule type="expression" dxfId="365" priority="84">
      <formula>OR($C3="Normal uge 3")</formula>
    </cfRule>
    <cfRule type="expression" dxfId="364" priority="85">
      <formula>OR($C3="Normal uge 4")</formula>
    </cfRule>
    <cfRule type="expression" dxfId="363" priority="86">
      <formula>OR($C3="Ikke relevant")</formula>
    </cfRule>
    <cfRule type="expression" dxfId="362" priority="222">
      <formula>OR(#REF!="Skema 1")</formula>
    </cfRule>
    <cfRule type="expression" dxfId="361" priority="223">
      <formula>OR(#REF!="Skema 2")</formula>
    </cfRule>
    <cfRule type="expression" dxfId="360" priority="224">
      <formula>OR(#REF!="Skema 3")</formula>
    </cfRule>
    <cfRule type="expression" dxfId="359" priority="225">
      <formula>OR(#REF!="Skema 4")</formula>
    </cfRule>
    <cfRule type="expression" dxfId="358" priority="87">
      <formula>OR($C3="pæd.dag")</formula>
    </cfRule>
    <cfRule type="expression" dxfId="357" priority="88">
      <formula>OR($C3="nul-dag")</formula>
    </cfRule>
    <cfRule type="expression" dxfId="356" priority="89">
      <formula>OR($C3="SH-dag")</formula>
    </cfRule>
    <cfRule type="expression" dxfId="355" priority="90">
      <formula>OR($C3="ekskursion")</formula>
    </cfRule>
    <cfRule type="expression" dxfId="354" priority="91">
      <formula>OR($C3="Koloni")</formula>
    </cfRule>
    <cfRule type="expression" dxfId="353" priority="92">
      <formula>OR($C3="Anderledes dag")</formula>
    </cfRule>
    <cfRule type="expression" dxfId="352" priority="93">
      <formula>OR($C3="Feriepasningsdag")</formula>
    </cfRule>
    <cfRule type="expression" dxfId="351" priority="94">
      <formula>OR($C3="feriedag")</formula>
    </cfRule>
    <cfRule type="expression" dxfId="350" priority="95">
      <formula>OR($C3="weekend")</formula>
    </cfRule>
    <cfRule type="expression" dxfId="349" priority="96" stopIfTrue="1">
      <formula>OR($C3="Rul 2")</formula>
    </cfRule>
    <cfRule type="expression" dxfId="348" priority="77" stopIfTrue="1">
      <formula>OR($C3="Rul 5")</formula>
    </cfRule>
    <cfRule type="expression" dxfId="347" priority="76" stopIfTrue="1">
      <formula>OR($C3="Rul 6")</formula>
    </cfRule>
    <cfRule type="expression" dxfId="346" priority="267" stopIfTrue="1">
      <formula>OR(#REF!="Orlov")</formula>
    </cfRule>
    <cfRule type="expression" dxfId="345" priority="266">
      <formula>OR(#REF!="weekend")</formula>
    </cfRule>
    <cfRule type="expression" dxfId="344" priority="265">
      <formula>OR(#REF!="feriedag")</formula>
    </cfRule>
    <cfRule type="expression" dxfId="343" priority="264">
      <formula>OR(#REF!="fagdag")</formula>
    </cfRule>
    <cfRule type="expression" dxfId="342" priority="263">
      <formula>OR(#REF!="emnedag")</formula>
    </cfRule>
    <cfRule type="expression" dxfId="341" priority="243">
      <formula>OR(#REF!="Ikke relevant")</formula>
    </cfRule>
    <cfRule type="expression" dxfId="340" priority="262">
      <formula>OR(#REF!="lejrskole")</formula>
    </cfRule>
    <cfRule type="expression" dxfId="339" priority="261">
      <formula>OR(#REF!="ekskursion")</formula>
    </cfRule>
    <cfRule type="expression" dxfId="338" priority="260">
      <formula>OR(#REF!="SH-dag")</formula>
    </cfRule>
    <cfRule type="expression" dxfId="337" priority="259">
      <formula>OR(#REF!="nul-dag")</formula>
    </cfRule>
    <cfRule type="expression" dxfId="336" priority="78" stopIfTrue="1">
      <formula>OR($C3="Rul 4")</formula>
    </cfRule>
  </conditionalFormatting>
  <conditionalFormatting sqref="AD3:AD33">
    <cfRule type="expression" dxfId="312" priority="66">
      <formula>OR($C3="pæd.dag")</formula>
    </cfRule>
    <cfRule type="expression" dxfId="311" priority="249">
      <formula>OR(#REF!="nul-dag")</formula>
    </cfRule>
    <cfRule type="expression" dxfId="310" priority="75" stopIfTrue="1">
      <formula>OR($C3="Rul 2")</formula>
    </cfRule>
    <cfRule type="expression" dxfId="309" priority="73">
      <formula>OR($C3="feriedag")</formula>
    </cfRule>
    <cfRule type="expression" dxfId="308" priority="72">
      <formula>OR($C3="Feriepasningsdag")</formula>
    </cfRule>
    <cfRule type="expression" dxfId="307" priority="71">
      <formula>OR($C3="Anderledes dag")</formula>
    </cfRule>
    <cfRule type="expression" dxfId="306" priority="70">
      <formula>OR($C3="Koloni")</formula>
    </cfRule>
    <cfRule type="expression" dxfId="305" priority="65">
      <formula>OR($C3="Ikke relevant")</formula>
    </cfRule>
    <cfRule type="expression" dxfId="304" priority="64">
      <formula>OR($C3="Normal uge 4")</formula>
    </cfRule>
    <cfRule type="expression" dxfId="303" priority="63">
      <formula>OR($C3="Normal uge 3")</formula>
    </cfRule>
    <cfRule type="expression" dxfId="302" priority="62">
      <formula>OR($C3="Normal uge 2")</formula>
    </cfRule>
    <cfRule type="expression" dxfId="301" priority="61">
      <formula>OR($C3="Orlov")</formula>
    </cfRule>
    <cfRule type="expression" dxfId="300" priority="60">
      <formula>OR($C3="Normal uge 1")</formula>
    </cfRule>
    <cfRule type="expression" dxfId="299" priority="59" stopIfTrue="1">
      <formula>OR($C3="Rul 1")</formula>
    </cfRule>
    <cfRule type="expression" dxfId="298" priority="58" stopIfTrue="1">
      <formula>OR($C3="Rul 3")</formula>
    </cfRule>
    <cfRule type="expression" dxfId="297" priority="221">
      <formula>OR(#REF!="Skema 4")</formula>
    </cfRule>
    <cfRule type="expression" dxfId="296" priority="69">
      <formula>OR($C3="ekskursion")</formula>
    </cfRule>
    <cfRule type="expression" dxfId="295" priority="242">
      <formula>OR(#REF!="Ikke relevant")</formula>
    </cfRule>
    <cfRule type="expression" dxfId="294" priority="67">
      <formula>OR($C3="nul-dag")</formula>
    </cfRule>
    <cfRule type="expression" dxfId="293" priority="68">
      <formula>OR($C3="SH-dag")</formula>
    </cfRule>
    <cfRule type="expression" dxfId="292" priority="248">
      <formula>OR(#REF!="pæd.dag")</formula>
    </cfRule>
    <cfRule type="expression" dxfId="291" priority="257" stopIfTrue="1">
      <formula>OR(#REF!="Orlov")</formula>
    </cfRule>
    <cfRule type="expression" dxfId="290" priority="256">
      <formula>OR(#REF!="weekend")</formula>
    </cfRule>
    <cfRule type="expression" dxfId="289" priority="255">
      <formula>OR(#REF!="feriedag")</formula>
    </cfRule>
    <cfRule type="expression" dxfId="288" priority="254">
      <formula>OR(#REF!="fagdag")</formula>
    </cfRule>
    <cfRule type="expression" dxfId="287" priority="253">
      <formula>OR(#REF!="emnedag")</formula>
    </cfRule>
    <cfRule type="expression" dxfId="286" priority="252">
      <formula>OR(#REF!="lejrskole")</formula>
    </cfRule>
    <cfRule type="expression" dxfId="285" priority="251">
      <formula>OR(#REF!="ekskursion")</formula>
    </cfRule>
    <cfRule type="expression" dxfId="284" priority="220">
      <formula>OR(#REF!="Skema 3")</formula>
    </cfRule>
    <cfRule type="expression" dxfId="283" priority="219">
      <formula>OR(#REF!="Skema 2")</formula>
    </cfRule>
    <cfRule type="expression" dxfId="282" priority="218">
      <formula>OR(#REF!="Skema 1")</formula>
    </cfRule>
    <cfRule type="expression" dxfId="281" priority="57" stopIfTrue="1">
      <formula>OR($C3="Rul 4")</formula>
    </cfRule>
    <cfRule type="expression" dxfId="280" priority="56" stopIfTrue="1">
      <formula>OR($C3="Rul 5")</formula>
    </cfRule>
    <cfRule type="expression" dxfId="279" priority="55" stopIfTrue="1">
      <formula>OR($C3="Rul 6")</formula>
    </cfRule>
    <cfRule type="expression" dxfId="278" priority="250">
      <formula>OR(#REF!="SH-dag")</formula>
    </cfRule>
    <cfRule type="expression" dxfId="277" priority="74">
      <formula>OR($C3="weekend")</formula>
    </cfRule>
  </conditionalFormatting>
  <printOptions horizontalCentered="1" verticalCentered="1"/>
  <pageMargins left="0.35433070866141736" right="0.35433070866141736" top="0.39370078740157483" bottom="0.39370078740157483" header="0.11811023622047245" footer="0.11811023622047245"/>
  <pageSetup paperSize="9" scale="53" orientation="landscape" horizontalDpi="4294967292" verticalDpi="4294967292"/>
  <ignoredErrors>
    <ignoredError sqref="A2:AD2 F33:J33 P33:T33 B1:AD1" unlockedFormula="1"/>
  </ignoredErrors>
  <extLst>
    <ext xmlns:x14="http://schemas.microsoft.com/office/spreadsheetml/2009/9/main" uri="{78C0D931-6437-407d-A8EE-F0AAD7539E65}">
      <x14:conditionalFormattings>
        <x14:conditionalFormatting xmlns:xm="http://schemas.microsoft.com/office/excel/2006/main">
          <x14:cfRule type="expression" priority="195" id="{85579B1D-3BD8-6C46-BE64-0A86BAD448D2}">
            <xm:f>OR(August!$C20="weekend")</xm:f>
            <x14:dxf>
              <font>
                <color theme="1"/>
              </font>
              <fill>
                <patternFill>
                  <bgColor theme="0" tint="-0.14996795556505021"/>
                </patternFill>
              </fill>
            </x14:dxf>
          </x14:cfRule>
          <x14:cfRule type="expression" priority="175" id="{8FD1A35A-57FD-8C4B-AA55-9ABA9D006AA3}">
            <xm:f>OR(August!$C20="Rul 1")</xm:f>
            <x14:dxf>
              <font>
                <color theme="1"/>
              </font>
              <fill>
                <patternFill patternType="solid">
                  <bgColor theme="2"/>
                </patternFill>
              </fill>
            </x14:dxf>
          </x14:cfRule>
          <x14:cfRule type="expression" priority="176" id="{396C5B6D-2433-7242-BA90-D6D479534A03}">
            <xm:f>OR(August!$C20="Rul 2")</xm:f>
            <x14:dxf>
              <font>
                <color theme="1"/>
              </font>
              <fill>
                <patternFill patternType="solid">
                  <bgColor theme="2" tint="-9.9948118533890809E-2"/>
                </patternFill>
              </fill>
            </x14:dxf>
          </x14:cfRule>
          <x14:cfRule type="expression" priority="177" id="{75F5C72C-CCCC-0443-919D-B7A3C933065E}">
            <xm:f>OR(August!$C20="Rul 3")</xm:f>
            <x14:dxf>
              <font>
                <color theme="1"/>
              </font>
              <fill>
                <patternFill patternType="solid">
                  <bgColor theme="2" tint="-0.24994659260841701"/>
                </patternFill>
              </fill>
            </x14:dxf>
          </x14:cfRule>
          <x14:cfRule type="expression" priority="178" id="{4D3297A9-064E-EC40-9FC4-45FD1AF2ACF4}">
            <xm:f>OR(August!$C20="Rul 4")</xm:f>
            <x14:dxf>
              <font>
                <color theme="1"/>
              </font>
              <fill>
                <patternFill patternType="solid">
                  <bgColor theme="2" tint="-0.499984740745262"/>
                </patternFill>
              </fill>
            </x14:dxf>
          </x14:cfRule>
          <x14:cfRule type="expression" priority="179" id="{D3EFD0FE-2D1B-AB42-8F69-8E6466429520}">
            <xm:f>OR(August!$C20="Rul 5")</xm:f>
            <x14:dxf>
              <font>
                <color theme="0"/>
              </font>
              <fill>
                <patternFill patternType="solid">
                  <bgColor theme="2" tint="-0.749961851863155"/>
                </patternFill>
              </fill>
            </x14:dxf>
          </x14:cfRule>
          <x14:cfRule type="expression" priority="180" id="{89A23CEF-66C9-AF42-B6B5-8B3832D901CC}">
            <xm:f>OR(August!$C20="Rul 6")</xm:f>
            <x14:dxf>
              <font>
                <color theme="0"/>
              </font>
              <fill>
                <patternFill patternType="solid">
                  <bgColor theme="2" tint="-0.89996032593768116"/>
                </patternFill>
              </fill>
            </x14:dxf>
          </x14:cfRule>
          <x14:cfRule type="expression" priority="181" id="{2D214DA0-FF9B-1241-B3DB-DFEC213D9A98}">
            <xm:f>OR(August!$C20="Orlov")</xm:f>
            <x14:dxf>
              <font>
                <color theme="0"/>
              </font>
              <fill>
                <patternFill patternType="solid">
                  <bgColor theme="6" tint="-0.24994659260841701"/>
                </patternFill>
              </fill>
            </x14:dxf>
          </x14:cfRule>
          <x14:cfRule type="expression" priority="182" id="{29FC236A-28FC-7F4E-87CA-ECA286341F24}">
            <xm:f>OR(August!$C20="Normal uge 1")</xm:f>
            <x14:dxf>
              <font>
                <color theme="1"/>
              </font>
              <fill>
                <patternFill patternType="solid">
                  <bgColor theme="4" tint="0.79998168889431442"/>
                </patternFill>
              </fill>
            </x14:dxf>
          </x14:cfRule>
          <x14:cfRule type="expression" priority="183" id="{0C4DEDDD-FEFE-6740-8FC9-D79B15BFFE3A}">
            <xm:f>OR(August!$C20="Normal uge 2")</xm:f>
            <x14:dxf>
              <font>
                <color theme="1"/>
              </font>
              <fill>
                <patternFill patternType="solid">
                  <bgColor theme="4" tint="0.59996337778862885"/>
                </patternFill>
              </fill>
            </x14:dxf>
          </x14:cfRule>
          <x14:cfRule type="expression" priority="11" stopIfTrue="1" id="{EE8DD2ED-2933-EF4A-B886-92E7A9FAB5E5}">
            <xm:f>OR(August!$C20="Normal uge 6")</xm:f>
            <x14:dxf>
              <font>
                <color theme="0"/>
              </font>
              <fill>
                <patternFill patternType="solid">
                  <bgColor theme="9" tint="-0.499984740745262"/>
                </patternFill>
              </fill>
            </x14:dxf>
          </x14:cfRule>
          <x14:cfRule type="expression" priority="12" id="{095F647D-BB73-6641-9C69-382595E3A2B6}">
            <xm:f>OR(August!$C20="Normal uge 5")</xm:f>
            <x14:dxf>
              <font>
                <color theme="0"/>
              </font>
              <fill>
                <patternFill patternType="solid">
                  <bgColor theme="9" tint="-0.24994659260841701"/>
                </patternFill>
              </fill>
            </x14:dxf>
          </x14:cfRule>
          <x14:cfRule type="expression" priority="184" id="{3590E9F0-EB39-D14D-9A2D-70BE967F872C}">
            <xm:f>OR(August!$C20="Normal uge 3")</xm:f>
            <x14:dxf>
              <font>
                <color theme="0"/>
              </font>
              <fill>
                <patternFill patternType="solid">
                  <bgColor theme="4" tint="0.39994506668294322"/>
                </patternFill>
              </fill>
            </x14:dxf>
          </x14:cfRule>
          <x14:cfRule type="expression" priority="185" id="{A4C90ECD-0126-E441-8CBB-35BD82CFDA69}">
            <xm:f>OR(August!$C20="Ikke relevant")</xm:f>
            <x14:dxf>
              <font>
                <color theme="0"/>
              </font>
              <fill>
                <patternFill>
                  <bgColor theme="1"/>
                </patternFill>
              </fill>
            </x14:dxf>
          </x14:cfRule>
          <x14:cfRule type="expression" priority="186" id="{DBEB29DE-AF8C-9C46-B7B0-E46256700204}">
            <xm:f>OR(August!$C20="Normal uge 4")</xm:f>
            <x14:dxf>
              <font>
                <color theme="0"/>
              </font>
              <fill>
                <patternFill patternType="solid">
                  <bgColor theme="4" tint="-0.24994659260841701"/>
                </patternFill>
              </fill>
            </x14:dxf>
          </x14:cfRule>
          <x14:cfRule type="expression" priority="187" id="{5B6EE13A-B348-B842-954A-42AAB5942F25}">
            <xm:f>OR(August!$C20="pæd.dag")</xm:f>
            <x14:dxf>
              <font>
                <color theme="1"/>
              </font>
              <fill>
                <patternFill>
                  <bgColor theme="7" tint="0.39994506668294322"/>
                </patternFill>
              </fill>
            </x14:dxf>
          </x14:cfRule>
          <x14:cfRule type="expression" priority="188" id="{79EFC9D5-BA4E-CF49-8EDB-319A8386E5DB}">
            <xm:f>OR(August!$C20="SH-dag")</xm:f>
            <x14:dxf>
              <font>
                <color theme="1"/>
              </font>
              <fill>
                <patternFill>
                  <bgColor rgb="FFFF2F82"/>
                </patternFill>
              </fill>
            </x14:dxf>
          </x14:cfRule>
          <x14:cfRule type="expression" priority="189" id="{00DB97D0-D2E1-3A44-AA3A-35A249B09E91}">
            <xm:f>OR(August!$C20="Nul-dag")</xm:f>
            <x14:dxf>
              <font>
                <color theme="1"/>
              </font>
              <fill>
                <patternFill>
                  <bgColor theme="5" tint="0.79998168889431442"/>
                </patternFill>
              </fill>
            </x14:dxf>
          </x14:cfRule>
          <x14:cfRule type="expression" priority="190" id="{91007D6F-5D1A-F443-ABA2-415E3CCA4592}">
            <xm:f>OR(August!$C20="ekskursion")</xm:f>
            <x14:dxf>
              <font>
                <color theme="1"/>
              </font>
              <fill>
                <patternFill>
                  <bgColor rgb="FFFFFF00"/>
                </patternFill>
              </fill>
            </x14:dxf>
          </x14:cfRule>
          <x14:cfRule type="expression" priority="191" id="{7758FF45-3171-0146-BB65-6C4A5996A469}">
            <xm:f>OR(August!$C20="Koloni")</xm:f>
            <x14:dxf>
              <font>
                <color theme="1"/>
              </font>
              <fill>
                <patternFill>
                  <bgColor theme="8" tint="0.59996337778862885"/>
                </patternFill>
              </fill>
            </x14:dxf>
          </x14:cfRule>
          <x14:cfRule type="expression" priority="192" id="{7802BD70-D1C3-EE49-99C1-DCC9356AAA70}">
            <xm:f>OR(August!$C20="Anderledes dag")</xm:f>
            <x14:dxf>
              <font>
                <color theme="1"/>
              </font>
              <fill>
                <patternFill>
                  <bgColor theme="5" tint="0.59996337778862885"/>
                </patternFill>
              </fill>
            </x14:dxf>
          </x14:cfRule>
          <x14:cfRule type="expression" priority="193" id="{EF1821AB-5DD9-F74E-A635-61BF14FD0357}">
            <xm:f>OR(August!$C20="ferieåbning")</xm:f>
            <x14:dxf>
              <font>
                <color theme="1"/>
              </font>
              <fill>
                <patternFill>
                  <bgColor theme="9" tint="0.59996337778862885"/>
                </patternFill>
              </fill>
            </x14:dxf>
          </x14:cfRule>
          <x14:cfRule type="expression" priority="194" id="{5FA2D650-54B5-394F-B282-838DE7899B08}">
            <xm:f>OR(August!$C20="feriedag")</xm:f>
            <x14:dxf>
              <font>
                <color theme="1"/>
              </font>
              <fill>
                <patternFill>
                  <bgColor theme="6" tint="0.39994506668294322"/>
                </patternFill>
              </fill>
            </x14:dxf>
          </x14:cfRule>
          <xm:sqref>A3:E33</xm:sqref>
        </x14:conditionalFormatting>
        <x14:conditionalFormatting xmlns:xm="http://schemas.microsoft.com/office/excel/2006/main">
          <x14:cfRule type="expression" priority="327" stopIfTrue="1" id="{7E088C76-2C1B-4A4B-B72F-8E38A511E840}">
            <xm:f>OR(August!$C20="Orlov")</xm:f>
            <x14:dxf>
              <font>
                <color theme="0"/>
              </font>
              <fill>
                <patternFill patternType="solid">
                  <bgColor theme="6" tint="-0.24994659260841701"/>
                </patternFill>
              </fill>
            </x14:dxf>
          </x14:cfRule>
          <x14:cfRule type="expression" priority="318" id="{B78C599E-77F1-D644-9FE9-ABD5FC8F382C}">
            <xm:f>OR(August!$C20="pæd.dag")</xm:f>
            <x14:dxf>
              <font>
                <color theme="1"/>
              </font>
              <fill>
                <patternFill>
                  <bgColor theme="7" tint="0.39994506668294322"/>
                </patternFill>
              </fill>
            </x14:dxf>
          </x14:cfRule>
          <x14:cfRule type="expression" priority="326" id="{3D435629-D562-1843-BC8C-C49FD76A418A}">
            <xm:f>OR(August!$C20="weekend")</xm:f>
            <x14:dxf>
              <font>
                <color theme="1"/>
              </font>
              <fill>
                <patternFill>
                  <bgColor theme="0" tint="-0.14996795556505021"/>
                </patternFill>
              </fill>
            </x14:dxf>
          </x14:cfRule>
          <x14:cfRule type="expression" priority="241" id="{347B9104-5EB7-AA4F-9364-620AC86FE217}">
            <xm:f>OR(August!$C20="Skema 4")</xm:f>
            <x14:dxf>
              <font>
                <color theme="0"/>
              </font>
              <fill>
                <patternFill>
                  <bgColor theme="4" tint="-0.24994659260841701"/>
                </patternFill>
              </fill>
            </x14:dxf>
          </x14:cfRule>
          <x14:cfRule type="expression" priority="240" id="{268CA7B4-52BE-1443-93BC-121DA8356B11}">
            <xm:f>OR(August!$C20="Skema 3")</xm:f>
            <x14:dxf>
              <font>
                <color theme="0"/>
              </font>
              <fill>
                <patternFill>
                  <bgColor theme="4" tint="0.39994506668294322"/>
                </patternFill>
              </fill>
            </x14:dxf>
          </x14:cfRule>
          <x14:cfRule type="expression" priority="239" id="{A1951D69-4ADB-3047-8B42-4A5141429C7B}">
            <xm:f>OR(August!$C20="Skema 2")</xm:f>
            <x14:dxf>
              <font>
                <color theme="1"/>
              </font>
              <fill>
                <patternFill>
                  <bgColor theme="4" tint="0.59996337778862885"/>
                </patternFill>
              </fill>
            </x14:dxf>
          </x14:cfRule>
          <x14:cfRule type="expression" priority="238" id="{BCD76501-B6F8-B74D-98D4-F3CE391F978C}">
            <xm:f>OR(August!$C20="Skema 1")</xm:f>
            <x14:dxf>
              <font>
                <color theme="1"/>
              </font>
              <fill>
                <patternFill>
                  <bgColor theme="4" tint="0.79998168889431442"/>
                </patternFill>
              </fill>
            </x14:dxf>
          </x14:cfRule>
          <x14:cfRule type="expression" priority="325" id="{BDDE1528-B4C8-F547-9572-1788BDC0DBD0}">
            <xm:f>OR(August!$C20="feriedag")</xm:f>
            <x14:dxf>
              <font>
                <color theme="1"/>
              </font>
              <fill>
                <patternFill>
                  <bgColor theme="6" tint="0.39994506668294322"/>
                </patternFill>
              </fill>
            </x14:dxf>
          </x14:cfRule>
          <x14:cfRule type="expression" priority="324" id="{723F6421-6944-B64B-9A9F-457A9003CABE}">
            <xm:f>OR(August!$C20="fagdag")</xm:f>
            <x14:dxf>
              <font>
                <color theme="1"/>
              </font>
              <fill>
                <patternFill>
                  <bgColor theme="9" tint="0.59996337778862885"/>
                </patternFill>
              </fill>
            </x14:dxf>
          </x14:cfRule>
          <x14:cfRule type="expression" priority="323" id="{BED33284-DDF4-564F-A68F-1D8DD9E13F5F}">
            <xm:f>OR(August!$C20="emnedag")</xm:f>
            <x14:dxf>
              <font>
                <color theme="1"/>
              </font>
              <fill>
                <patternFill>
                  <bgColor theme="5" tint="0.59996337778862885"/>
                </patternFill>
              </fill>
            </x14:dxf>
          </x14:cfRule>
          <x14:cfRule type="expression" priority="322" id="{B3976725-7BC8-274D-A17A-06C54196C59B}">
            <xm:f>OR(August!$C20="lejrskole")</xm:f>
            <x14:dxf>
              <font>
                <color theme="1"/>
              </font>
              <fill>
                <patternFill>
                  <bgColor theme="8" tint="0.59996337778862885"/>
                </patternFill>
              </fill>
            </x14:dxf>
          </x14:cfRule>
          <x14:cfRule type="expression" priority="321" id="{56138BA0-8BE0-4047-9775-0C98271CE80A}">
            <xm:f>OR(August!$C20="ekskursion")</xm:f>
            <x14:dxf>
              <font>
                <color theme="1"/>
              </font>
              <fill>
                <patternFill>
                  <bgColor rgb="FFFFFF00"/>
                </patternFill>
              </fill>
            </x14:dxf>
          </x14:cfRule>
          <x14:cfRule type="expression" priority="320" id="{C726354F-05C3-9C43-946C-A3FB6A43F70E}">
            <xm:f>OR(August!$C20="SH-dag")</xm:f>
            <x14:dxf>
              <font>
                <color theme="1"/>
              </font>
              <fill>
                <patternFill>
                  <bgColor rgb="FFFF2F82"/>
                </patternFill>
              </fill>
            </x14:dxf>
          </x14:cfRule>
          <x14:cfRule type="expression" priority="319" id="{CDFF70CE-D945-F741-ADF6-03C1B6832B46}">
            <xm:f>OR(August!$C20="nul-dag")</xm:f>
            <x14:dxf>
              <font>
                <color theme="1"/>
              </font>
              <fill>
                <patternFill>
                  <bgColor theme="5" tint="0.79998168889431442"/>
                </patternFill>
              </fill>
            </x14:dxf>
          </x14:cfRule>
          <x14:cfRule type="expression" priority="247" id="{AF9AE05E-3605-5E4C-893C-6819AB1EE948}">
            <xm:f>OR(August!$C20="Ikke relevant")</xm:f>
            <x14:dxf>
              <font>
                <color theme="0"/>
              </font>
              <fill>
                <patternFill>
                  <bgColor theme="1"/>
                </patternFill>
              </fill>
            </x14:dxf>
          </x14:cfRule>
          <xm:sqref>E3:E33</xm:sqref>
        </x14:conditionalFormatting>
        <x14:conditionalFormatting xmlns:xm="http://schemas.microsoft.com/office/excel/2006/main">
          <x14:cfRule type="expression" priority="139" id="{3C73504A-FB19-0547-AD36-3C4941D89789}">
            <xm:f>OR(September!$C15="Rul 1")</xm:f>
            <x14:dxf>
              <font>
                <color theme="1"/>
              </font>
              <fill>
                <patternFill patternType="solid">
                  <bgColor theme="2"/>
                </patternFill>
              </fill>
            </x14:dxf>
          </x14:cfRule>
          <x14:cfRule type="expression" priority="153" id="{21A52610-F1B4-514F-BEE8-1791F80DB2D7}">
            <xm:f>OR(September!$C15="Nul-dag")</xm:f>
            <x14:dxf>
              <font>
                <color theme="1"/>
              </font>
              <fill>
                <patternFill>
                  <bgColor theme="5" tint="0.79998168889431442"/>
                </patternFill>
              </fill>
            </x14:dxf>
          </x14:cfRule>
          <x14:cfRule type="expression" priority="9" stopIfTrue="1" id="{079312FA-88E5-ED4A-9390-DA927614E3AA}">
            <xm:f>OR(September!$C15="Normal uge 6")</xm:f>
            <x14:dxf>
              <font>
                <color theme="0"/>
              </font>
              <fill>
                <patternFill patternType="solid">
                  <bgColor theme="9" tint="-0.499984740745262"/>
                </patternFill>
              </fill>
            </x14:dxf>
          </x14:cfRule>
          <x14:cfRule type="expression" priority="159" id="{936F1020-E419-DE40-A5B5-A343A157BAA8}">
            <xm:f>OR(September!$C15="weekend")</xm:f>
            <x14:dxf>
              <font>
                <color theme="1"/>
              </font>
              <fill>
                <patternFill>
                  <bgColor theme="0" tint="-0.14996795556505021"/>
                </patternFill>
              </fill>
            </x14:dxf>
          </x14:cfRule>
          <x14:cfRule type="expression" priority="158" id="{4FF07A11-3D11-FE48-BD3D-F421F3413FB2}">
            <xm:f>OR(September!$C15="feriedag")</xm:f>
            <x14:dxf>
              <font>
                <color theme="1"/>
              </font>
              <fill>
                <patternFill>
                  <bgColor theme="6" tint="0.39994506668294322"/>
                </patternFill>
              </fill>
            </x14:dxf>
          </x14:cfRule>
          <x14:cfRule type="expression" priority="157" id="{85BCF294-5C87-434A-B7A8-E4DBDF57E15B}">
            <xm:f>OR(September!$C15="ferieåbning")</xm:f>
            <x14:dxf>
              <font>
                <color theme="1"/>
              </font>
              <fill>
                <patternFill>
                  <bgColor theme="9" tint="0.59996337778862885"/>
                </patternFill>
              </fill>
            </x14:dxf>
          </x14:cfRule>
          <x14:cfRule type="expression" priority="156" id="{8DE68625-AFFA-9B4C-A603-E0F05FC4E0BA}">
            <xm:f>OR(September!$C15="Anderledes dag")</xm:f>
            <x14:dxf>
              <font>
                <color theme="1"/>
              </font>
              <fill>
                <patternFill>
                  <bgColor theme="5" tint="0.59996337778862885"/>
                </patternFill>
              </fill>
            </x14:dxf>
          </x14:cfRule>
          <x14:cfRule type="expression" priority="155" id="{415A3F49-8F37-7545-8444-967C1630CA78}">
            <xm:f>OR(September!$C15="Koloni")</xm:f>
            <x14:dxf>
              <font>
                <color theme="1"/>
              </font>
              <fill>
                <patternFill>
                  <bgColor theme="8" tint="0.59996337778862885"/>
                </patternFill>
              </fill>
            </x14:dxf>
          </x14:cfRule>
          <x14:cfRule type="expression" priority="154" id="{A9AA6560-AB79-8740-9F1B-8A842E68046B}">
            <xm:f>OR(September!$C15="ekskursion")</xm:f>
            <x14:dxf>
              <font>
                <color theme="1"/>
              </font>
              <fill>
                <patternFill>
                  <bgColor rgb="FFFFFF00"/>
                </patternFill>
              </fill>
            </x14:dxf>
          </x14:cfRule>
          <x14:cfRule type="expression" priority="140" id="{FF76F6D3-082D-A541-97A0-130CC6425583}">
            <xm:f>OR(September!$C15="Rul 2")</xm:f>
            <x14:dxf>
              <font>
                <color theme="1"/>
              </font>
              <fill>
                <patternFill patternType="solid">
                  <bgColor theme="2" tint="-9.9948118533890809E-2"/>
                </patternFill>
              </fill>
            </x14:dxf>
          </x14:cfRule>
          <x14:cfRule type="expression" priority="141" id="{E3866841-E469-F54F-AA75-41BF23A8957A}">
            <xm:f>OR(September!$C15="Rul 3")</xm:f>
            <x14:dxf>
              <font>
                <color theme="1"/>
              </font>
              <fill>
                <patternFill patternType="solid">
                  <bgColor theme="2" tint="-0.24994659260841701"/>
                </patternFill>
              </fill>
            </x14:dxf>
          </x14:cfRule>
          <x14:cfRule type="expression" priority="142" id="{3B24C937-53F9-4D4E-8061-9A5BD8033002}">
            <xm:f>OR(September!$C15="Rul 4")</xm:f>
            <x14:dxf>
              <font>
                <color theme="1"/>
              </font>
              <fill>
                <patternFill patternType="solid">
                  <bgColor theme="2" tint="-0.499984740745262"/>
                </patternFill>
              </fill>
            </x14:dxf>
          </x14:cfRule>
          <x14:cfRule type="expression" priority="143" id="{32BC32CB-24B3-AF4D-841E-2F06994350E0}">
            <xm:f>OR(September!$C15="Rul 5")</xm:f>
            <x14:dxf>
              <font>
                <color theme="0"/>
              </font>
              <fill>
                <patternFill patternType="solid">
                  <bgColor theme="2" tint="-0.749961851863155"/>
                </patternFill>
              </fill>
            </x14:dxf>
          </x14:cfRule>
          <x14:cfRule type="expression" priority="144" id="{082F86D6-D365-1848-8CF6-D744704A7574}">
            <xm:f>OR(September!$C15="Rul 6")</xm:f>
            <x14:dxf>
              <font>
                <color theme="0"/>
              </font>
              <fill>
                <patternFill patternType="solid">
                  <bgColor theme="2" tint="-0.89996032593768116"/>
                </patternFill>
              </fill>
            </x14:dxf>
          </x14:cfRule>
          <x14:cfRule type="expression" priority="145" id="{DCF419ED-B484-5E4D-A3DD-6299A4D36DFE}">
            <xm:f>OR(September!$C15="Orlov")</xm:f>
            <x14:dxf>
              <font>
                <color theme="0"/>
              </font>
              <fill>
                <patternFill patternType="solid">
                  <bgColor theme="6" tint="-0.24994659260841701"/>
                </patternFill>
              </fill>
            </x14:dxf>
          </x14:cfRule>
          <x14:cfRule type="expression" priority="146" id="{AB1846C8-3D8E-3A4A-A497-F2D36A316B55}">
            <xm:f>OR(September!$C15="Normal uge 1")</xm:f>
            <x14:dxf>
              <font>
                <color theme="1"/>
              </font>
              <fill>
                <patternFill patternType="solid">
                  <bgColor theme="4" tint="0.79998168889431442"/>
                </patternFill>
              </fill>
            </x14:dxf>
          </x14:cfRule>
          <x14:cfRule type="expression" priority="147" id="{F98D15F1-3081-3742-BFD1-ADC34E7110F5}">
            <xm:f>OR(September!$C15="Normal uge 2")</xm:f>
            <x14:dxf>
              <font>
                <color theme="1"/>
              </font>
              <fill>
                <patternFill patternType="solid">
                  <bgColor theme="4" tint="0.59996337778862885"/>
                </patternFill>
              </fill>
            </x14:dxf>
          </x14:cfRule>
          <x14:cfRule type="expression" priority="148" id="{A4654677-75E3-A440-A5BC-3BE1D1862B0D}">
            <xm:f>OR(September!$C15="Normal uge 3")</xm:f>
            <x14:dxf>
              <font>
                <color theme="0"/>
              </font>
              <fill>
                <patternFill patternType="solid">
                  <bgColor theme="4" tint="0.39994506668294322"/>
                </patternFill>
              </fill>
            </x14:dxf>
          </x14:cfRule>
          <x14:cfRule type="expression" priority="149" id="{5A518165-BDC7-DE41-B827-D2CD605770A1}">
            <xm:f>OR(September!$C15="Ikke relevant")</xm:f>
            <x14:dxf>
              <font>
                <color theme="0"/>
              </font>
              <fill>
                <patternFill>
                  <bgColor theme="1"/>
                </patternFill>
              </fill>
            </x14:dxf>
          </x14:cfRule>
          <x14:cfRule type="expression" priority="10" stopIfTrue="1" id="{E22291E3-3B40-6B47-A47E-744D70E62D11}">
            <xm:f>OR(September!$C15="Normal uge 5")</xm:f>
            <x14:dxf>
              <font>
                <color theme="0"/>
              </font>
              <fill>
                <patternFill patternType="solid">
                  <bgColor theme="9" tint="-0.24994659260841701"/>
                </patternFill>
              </fill>
            </x14:dxf>
          </x14:cfRule>
          <x14:cfRule type="expression" priority="150" id="{44CFC142-A7F0-9E42-8659-E17D60FEA664}">
            <xm:f>OR(September!$C15="Normal uge 4")</xm:f>
            <x14:dxf>
              <font>
                <color theme="0"/>
              </font>
              <fill>
                <patternFill patternType="solid">
                  <bgColor theme="4" tint="-0.24994659260841701"/>
                </patternFill>
              </fill>
            </x14:dxf>
          </x14:cfRule>
          <x14:cfRule type="expression" priority="151" id="{DA815402-C732-A341-80A9-C3EE83F3878F}">
            <xm:f>OR(September!$C15="pæd.dag")</xm:f>
            <x14:dxf>
              <font>
                <color theme="1"/>
              </font>
              <fill>
                <patternFill>
                  <bgColor theme="7" tint="0.39994506668294322"/>
                </patternFill>
              </fill>
            </x14:dxf>
          </x14:cfRule>
          <x14:cfRule type="expression" priority="152" id="{9A36E5A6-7437-1748-BE5A-B1D93CEB6924}">
            <xm:f>OR(September!$C15="SH-dag")</xm:f>
            <x14:dxf>
              <font>
                <color theme="1"/>
              </font>
              <fill>
                <patternFill>
                  <bgColor rgb="FFFF2F82"/>
                </patternFill>
              </fill>
            </x14:dxf>
          </x14:cfRule>
          <xm:sqref>F3:J32</xm:sqref>
        </x14:conditionalFormatting>
        <x14:conditionalFormatting xmlns:xm="http://schemas.microsoft.com/office/excel/2006/main">
          <x14:cfRule type="expression" priority="136" id="{1AF30A67-DAAB-2344-BAF0-CB374C241830}">
            <xm:f>OR(Oktober!$C15="ferieåbning")</xm:f>
            <x14:dxf>
              <font>
                <color theme="1"/>
              </font>
              <fill>
                <patternFill>
                  <bgColor theme="9" tint="0.59996337778862885"/>
                </patternFill>
              </fill>
            </x14:dxf>
          </x14:cfRule>
          <x14:cfRule type="expression" priority="118" id="{D5F71056-471D-A140-B5CC-E9C1B7105A16}">
            <xm:f>OR(Oktober!$C15="Rul 1")</xm:f>
            <x14:dxf>
              <font>
                <color theme="1"/>
              </font>
              <fill>
                <patternFill patternType="solid">
                  <bgColor theme="2"/>
                </patternFill>
              </fill>
            </x14:dxf>
          </x14:cfRule>
          <x14:cfRule type="expression" priority="138" id="{09B4FA2B-4422-2B47-A49C-D147934808A9}">
            <xm:f>OR(Oktober!$C15="weekend")</xm:f>
            <x14:dxf>
              <font>
                <color theme="1"/>
              </font>
              <fill>
                <patternFill>
                  <bgColor theme="0" tint="-0.14996795556505021"/>
                </patternFill>
              </fill>
            </x14:dxf>
          </x14:cfRule>
          <x14:cfRule type="expression" priority="137" id="{DA348EB0-E86B-0043-9B73-4BDF5E4509E2}">
            <xm:f>OR(Oktober!$C15="feriedag")</xm:f>
            <x14:dxf>
              <font>
                <color theme="1"/>
              </font>
              <fill>
                <patternFill>
                  <bgColor theme="6" tint="0.39994506668294322"/>
                </patternFill>
              </fill>
            </x14:dxf>
          </x14:cfRule>
          <x14:cfRule type="expression" priority="135" id="{66F8FFDE-6870-5946-9E68-028C17BB6311}">
            <xm:f>OR(Oktober!$C15="Anderledes dag")</xm:f>
            <x14:dxf>
              <font>
                <color theme="1"/>
              </font>
              <fill>
                <patternFill>
                  <bgColor theme="5" tint="0.59996337778862885"/>
                </patternFill>
              </fill>
            </x14:dxf>
          </x14:cfRule>
          <x14:cfRule type="expression" priority="134" id="{C9413169-6D4A-994D-AF10-D64DD1EFCD17}">
            <xm:f>OR(Oktober!$C15="Koloni")</xm:f>
            <x14:dxf>
              <font>
                <color theme="1"/>
              </font>
              <fill>
                <patternFill>
                  <bgColor theme="8" tint="0.59996337778862885"/>
                </patternFill>
              </fill>
            </x14:dxf>
          </x14:cfRule>
          <x14:cfRule type="expression" priority="133" id="{06FAFF1E-35B9-B04F-9340-030CD7D0B716}">
            <xm:f>OR(Oktober!$C15="ekskursion")</xm:f>
            <x14:dxf>
              <font>
                <color theme="1"/>
              </font>
              <fill>
                <patternFill>
                  <bgColor rgb="FFFFFF00"/>
                </patternFill>
              </fill>
            </x14:dxf>
          </x14:cfRule>
          <x14:cfRule type="expression" priority="7" stopIfTrue="1" id="{7F18F782-2765-F44B-A935-15FF61C8C20D}">
            <xm:f>OR(Oktober!$C15="Normal uge 5")</xm:f>
            <x14:dxf>
              <font>
                <color theme="0"/>
              </font>
              <fill>
                <patternFill patternType="solid">
                  <bgColor theme="9" tint="-0.24994659260841701"/>
                </patternFill>
              </fill>
            </x14:dxf>
          </x14:cfRule>
          <x14:cfRule type="expression" priority="8" stopIfTrue="1" id="{19A7DE5A-2B16-7C41-852A-C0288A471145}">
            <xm:f>OR(Oktober!$C15="Normal uge 6")</xm:f>
            <x14:dxf>
              <font>
                <color theme="0"/>
              </font>
              <fill>
                <patternFill patternType="solid">
                  <bgColor theme="9" tint="-0.499984740745262"/>
                </patternFill>
              </fill>
            </x14:dxf>
          </x14:cfRule>
          <x14:cfRule type="expression" priority="132" id="{BFF16A11-53D5-AA46-ACE7-327D2F8D073E}">
            <xm:f>OR(Oktober!$C15="Nul-dag")</xm:f>
            <x14:dxf>
              <font>
                <color theme="1"/>
              </font>
              <fill>
                <patternFill>
                  <bgColor theme="5" tint="0.79998168889431442"/>
                </patternFill>
              </fill>
            </x14:dxf>
          </x14:cfRule>
          <x14:cfRule type="expression" priority="131" id="{2930ED4A-3500-EA42-91CF-F5EAB085924E}">
            <xm:f>OR(Oktober!$C15="SH-dag")</xm:f>
            <x14:dxf>
              <font>
                <color theme="1"/>
              </font>
              <fill>
                <patternFill>
                  <bgColor rgb="FFFF2F82"/>
                </patternFill>
              </fill>
            </x14:dxf>
          </x14:cfRule>
          <x14:cfRule type="expression" priority="130" id="{63478A72-227C-CC45-A4C1-48C12CA1D8FE}">
            <xm:f>OR(Oktober!$C15="pæd.dag")</xm:f>
            <x14:dxf>
              <font>
                <color theme="1"/>
              </font>
              <fill>
                <patternFill>
                  <bgColor theme="7" tint="0.39994506668294322"/>
                </patternFill>
              </fill>
            </x14:dxf>
          </x14:cfRule>
          <x14:cfRule type="expression" priority="129" id="{CBEE90C3-CE7F-DD4C-A731-CFDED5C23E68}">
            <xm:f>OR(Oktober!$C15="Normal uge 4")</xm:f>
            <x14:dxf>
              <font>
                <color theme="0"/>
              </font>
              <fill>
                <patternFill patternType="solid">
                  <bgColor theme="4" tint="-0.24994659260841701"/>
                </patternFill>
              </fill>
            </x14:dxf>
          </x14:cfRule>
          <x14:cfRule type="expression" priority="128" id="{91C865F3-717B-CC4F-B743-BE190C1603B9}">
            <xm:f>OR(Oktober!$C15="Ikke relevant")</xm:f>
            <x14:dxf>
              <font>
                <color theme="0"/>
              </font>
              <fill>
                <patternFill>
                  <bgColor theme="1"/>
                </patternFill>
              </fill>
            </x14:dxf>
          </x14:cfRule>
          <x14:cfRule type="expression" priority="127" id="{B2FDA0D9-B8C9-524B-8C96-27165E95465A}">
            <xm:f>OR(Oktober!$C15="Normal uge 3")</xm:f>
            <x14:dxf>
              <font>
                <color theme="0"/>
              </font>
              <fill>
                <patternFill patternType="solid">
                  <bgColor theme="4" tint="0.39994506668294322"/>
                </patternFill>
              </fill>
            </x14:dxf>
          </x14:cfRule>
          <x14:cfRule type="expression" priority="126" id="{1491271F-472E-DD45-BF01-BB9950F569EC}">
            <xm:f>OR(Oktober!$C15="Normal uge 2")</xm:f>
            <x14:dxf>
              <font>
                <color theme="1"/>
              </font>
              <fill>
                <patternFill patternType="solid">
                  <bgColor theme="4" tint="0.59996337778862885"/>
                </patternFill>
              </fill>
            </x14:dxf>
          </x14:cfRule>
          <x14:cfRule type="expression" priority="125" id="{2EE4090C-A044-8449-B036-C137FCD15713}">
            <xm:f>OR(Oktober!$C15="Normal uge 1")</xm:f>
            <x14:dxf>
              <font>
                <color theme="1"/>
              </font>
              <fill>
                <patternFill patternType="solid">
                  <bgColor theme="4" tint="0.79998168889431442"/>
                </patternFill>
              </fill>
            </x14:dxf>
          </x14:cfRule>
          <x14:cfRule type="expression" priority="124" id="{B809C5BD-5A37-894C-BD5C-D069083BFF8B}">
            <xm:f>OR(Oktober!$C15="Orlov")</xm:f>
            <x14:dxf>
              <font>
                <color theme="0"/>
              </font>
              <fill>
                <patternFill patternType="solid">
                  <bgColor theme="6" tint="-0.24994659260841701"/>
                </patternFill>
              </fill>
            </x14:dxf>
          </x14:cfRule>
          <x14:cfRule type="expression" priority="123" id="{23A7D2FD-D7AC-0A48-A9D9-8FAB7CCFD1CF}">
            <xm:f>OR(Oktober!$C15="Rul 6")</xm:f>
            <x14:dxf>
              <font>
                <color theme="0"/>
              </font>
              <fill>
                <patternFill patternType="solid">
                  <bgColor theme="2" tint="-0.89996032593768116"/>
                </patternFill>
              </fill>
            </x14:dxf>
          </x14:cfRule>
          <x14:cfRule type="expression" priority="122" id="{D9E2EAAA-1889-B346-B8CA-CC9A57F1E134}">
            <xm:f>OR(Oktober!$C15="Rul 5")</xm:f>
            <x14:dxf>
              <font>
                <color theme="0"/>
              </font>
              <fill>
                <patternFill patternType="solid">
                  <bgColor theme="2" tint="-0.749961851863155"/>
                </patternFill>
              </fill>
            </x14:dxf>
          </x14:cfRule>
          <x14:cfRule type="expression" priority="121" id="{2B5D40CB-5735-844C-8087-2EC8B2E0A1F2}">
            <xm:f>OR(Oktober!$C15="Rul 4")</xm:f>
            <x14:dxf>
              <font>
                <color theme="1"/>
              </font>
              <fill>
                <patternFill patternType="solid">
                  <bgColor theme="2" tint="-0.499984740745262"/>
                </patternFill>
              </fill>
            </x14:dxf>
          </x14:cfRule>
          <x14:cfRule type="expression" priority="120" id="{BBF19DA2-1CE8-8147-97ED-AC88A11E0557}">
            <xm:f>OR(Oktober!$C15="Rul 3")</xm:f>
            <x14:dxf>
              <font>
                <color theme="1"/>
              </font>
              <fill>
                <patternFill patternType="solid">
                  <bgColor theme="2" tint="-0.24994659260841701"/>
                </patternFill>
              </fill>
            </x14:dxf>
          </x14:cfRule>
          <x14:cfRule type="expression" priority="119" id="{E5FD46B4-4FC7-E946-AAC5-A0998546E328}">
            <xm:f>OR(Oktober!$C15="Rul 2")</xm:f>
            <x14:dxf>
              <font>
                <color theme="1"/>
              </font>
              <fill>
                <patternFill patternType="solid">
                  <bgColor theme="2" tint="-9.9948118533890809E-2"/>
                </patternFill>
              </fill>
            </x14:dxf>
          </x14:cfRule>
          <xm:sqref>K3:O33</xm:sqref>
        </x14:conditionalFormatting>
        <x14:conditionalFormatting xmlns:xm="http://schemas.microsoft.com/office/excel/2006/main">
          <x14:cfRule type="expression" priority="101" id="{42D7FDD1-7A29-4240-BA87-7B8FA629836F}">
            <xm:f>OR(November!$C15="Rul 5")</xm:f>
            <x14:dxf>
              <font>
                <color theme="0"/>
              </font>
              <fill>
                <patternFill patternType="solid">
                  <bgColor theme="2" tint="-0.749961851863155"/>
                </patternFill>
              </fill>
            </x14:dxf>
          </x14:cfRule>
          <x14:cfRule type="expression" priority="104" id="{C2F45ACF-B1E6-304A-AE82-C9DD3A577555}">
            <xm:f>OR(November!$C15="Normal uge 1")</xm:f>
            <x14:dxf>
              <font>
                <color theme="1"/>
              </font>
              <fill>
                <patternFill patternType="solid">
                  <bgColor theme="4" tint="0.79998168889431442"/>
                </patternFill>
              </fill>
            </x14:dxf>
          </x14:cfRule>
          <x14:cfRule type="expression" priority="117" id="{258A0D86-7BD5-2845-B04C-FE2EF3BE0651}">
            <xm:f>OR(November!$C15="weekend")</xm:f>
            <x14:dxf>
              <font>
                <color theme="1"/>
              </font>
              <fill>
                <patternFill>
                  <bgColor theme="0" tint="-0.14996795556505021"/>
                </patternFill>
              </fill>
            </x14:dxf>
          </x14:cfRule>
          <x14:cfRule type="expression" priority="100" id="{5BEAE0D8-5FD2-7B4F-844D-79875F65FF49}">
            <xm:f>OR(November!$C15="Rul 4")</xm:f>
            <x14:dxf>
              <font>
                <color theme="1"/>
              </font>
              <fill>
                <patternFill patternType="solid">
                  <bgColor theme="2" tint="-0.499984740745262"/>
                </patternFill>
              </fill>
            </x14:dxf>
          </x14:cfRule>
          <x14:cfRule type="expression" priority="99" id="{6667ADAF-E6F7-D845-922D-18E73F52F7F4}">
            <xm:f>OR(November!$C15="Rul 3")</xm:f>
            <x14:dxf>
              <font>
                <color theme="1"/>
              </font>
              <fill>
                <patternFill patternType="solid">
                  <bgColor theme="2" tint="-0.24994659260841701"/>
                </patternFill>
              </fill>
            </x14:dxf>
          </x14:cfRule>
          <x14:cfRule type="expression" priority="98" id="{5C7F63CD-1FE7-4548-BF32-79C19115EF95}">
            <xm:f>OR(November!$C15="Rul 2")</xm:f>
            <x14:dxf>
              <font>
                <color theme="1"/>
              </font>
              <fill>
                <patternFill patternType="solid">
                  <bgColor theme="2" tint="-9.9948118533890809E-2"/>
                </patternFill>
              </fill>
            </x14:dxf>
          </x14:cfRule>
          <x14:cfRule type="expression" priority="97" id="{16871E21-C2BA-9F47-81AA-5572923C2EBF}">
            <xm:f>OR(November!$C15="Rul 1")</xm:f>
            <x14:dxf>
              <font>
                <color theme="1"/>
              </font>
              <fill>
                <patternFill patternType="solid">
                  <bgColor theme="2"/>
                </patternFill>
              </fill>
            </x14:dxf>
          </x14:cfRule>
          <x14:cfRule type="expression" priority="115" id="{73A63248-6DD1-7B4B-9EE4-C56CF96A2151}">
            <xm:f>OR(November!$C15="ferieåbning")</xm:f>
            <x14:dxf>
              <font>
                <color theme="1"/>
              </font>
              <fill>
                <patternFill>
                  <bgColor theme="9" tint="0.59996337778862885"/>
                </patternFill>
              </fill>
            </x14:dxf>
          </x14:cfRule>
          <x14:cfRule type="expression" priority="114" id="{45893BA6-3F57-A346-B782-6211C0E0DADA}">
            <xm:f>OR(November!$C15="Anderledes dag")</xm:f>
            <x14:dxf>
              <font>
                <color theme="1"/>
              </font>
              <fill>
                <patternFill>
                  <bgColor theme="5" tint="0.59996337778862885"/>
                </patternFill>
              </fill>
            </x14:dxf>
          </x14:cfRule>
          <x14:cfRule type="expression" priority="113" id="{ED78250C-34A2-6C4C-8DDC-F416389FA10B}">
            <xm:f>OR(November!$C15="Koloni")</xm:f>
            <x14:dxf>
              <font>
                <color theme="1"/>
              </font>
              <fill>
                <patternFill>
                  <bgColor theme="8" tint="0.59996337778862885"/>
                </patternFill>
              </fill>
            </x14:dxf>
          </x14:cfRule>
          <x14:cfRule type="expression" priority="112" id="{19FB0853-6B13-C447-913E-85F1A1DB02C2}">
            <xm:f>OR(November!$C15="ekskursion")</xm:f>
            <x14:dxf>
              <font>
                <color theme="1"/>
              </font>
              <fill>
                <patternFill>
                  <bgColor rgb="FFFFFF00"/>
                </patternFill>
              </fill>
            </x14:dxf>
          </x14:cfRule>
          <x14:cfRule type="expression" priority="111" id="{7C14DE3B-016A-EA4E-99D0-79A295668F0B}">
            <xm:f>OR(November!$C15="Nul-dag")</xm:f>
            <x14:dxf>
              <font>
                <color theme="1"/>
              </font>
              <fill>
                <patternFill>
                  <bgColor theme="5" tint="0.79998168889431442"/>
                </patternFill>
              </fill>
            </x14:dxf>
          </x14:cfRule>
          <x14:cfRule type="expression" priority="110" id="{1047D5FC-F19E-1B4A-A97D-0906624BEC97}">
            <xm:f>OR(November!$C15="SH-dag")</xm:f>
            <x14:dxf>
              <font>
                <color theme="1"/>
              </font>
              <fill>
                <patternFill>
                  <bgColor rgb="FFFF2F82"/>
                </patternFill>
              </fill>
            </x14:dxf>
          </x14:cfRule>
          <x14:cfRule type="expression" priority="109" id="{D6E80112-ED34-EF48-AA8E-C416C124B853}">
            <xm:f>OR(November!$C15="pæd.dag")</xm:f>
            <x14:dxf>
              <font>
                <color theme="1"/>
              </font>
              <fill>
                <patternFill>
                  <bgColor theme="7" tint="0.39994506668294322"/>
                </patternFill>
              </fill>
            </x14:dxf>
          </x14:cfRule>
          <x14:cfRule type="expression" priority="108" id="{4BA8EF38-CB3C-9A4A-9386-01DACBEAF8B2}">
            <xm:f>OR(November!$C15="Normal uge 4")</xm:f>
            <x14:dxf>
              <font>
                <color theme="0"/>
              </font>
              <fill>
                <patternFill patternType="solid">
                  <bgColor theme="4" tint="-0.24994659260841701"/>
                </patternFill>
              </fill>
            </x14:dxf>
          </x14:cfRule>
          <x14:cfRule type="expression" priority="107" id="{F5C95F5C-56D8-BD41-967F-C37D7A5DEA51}">
            <xm:f>OR(November!$C15="Ikke relevant")</xm:f>
            <x14:dxf>
              <font>
                <color theme="0"/>
              </font>
              <fill>
                <patternFill>
                  <bgColor theme="1"/>
                </patternFill>
              </fill>
            </x14:dxf>
          </x14:cfRule>
          <x14:cfRule type="expression" priority="106" id="{46F7BCC8-78B4-DA4B-9B19-E1A6A7864B50}">
            <xm:f>OR(November!$C15="Normal uge 3")</xm:f>
            <x14:dxf>
              <font>
                <color theme="0"/>
              </font>
              <fill>
                <patternFill patternType="solid">
                  <bgColor theme="4" tint="0.39994506668294322"/>
                </patternFill>
              </fill>
            </x14:dxf>
          </x14:cfRule>
          <x14:cfRule type="expression" priority="105" id="{CF4CE3C2-BED2-6B4E-AA49-2370151358DB}">
            <xm:f>OR(November!$C15="Normal uge 2")</xm:f>
            <x14:dxf>
              <font>
                <color theme="1"/>
              </font>
              <fill>
                <patternFill patternType="solid">
                  <bgColor theme="4" tint="0.59996337778862885"/>
                </patternFill>
              </fill>
            </x14:dxf>
          </x14:cfRule>
          <x14:cfRule type="expression" priority="6" stopIfTrue="1" id="{638DEF98-289E-5143-A4B6-848DF2378251}">
            <xm:f>OR(November!$C15="Normal uge 5")</xm:f>
            <x14:dxf>
              <font>
                <color theme="0"/>
              </font>
              <fill>
                <patternFill patternType="solid">
                  <bgColor theme="9" tint="-0.24994659260841701"/>
                </patternFill>
              </fill>
            </x14:dxf>
          </x14:cfRule>
          <x14:cfRule type="expression" priority="5" stopIfTrue="1" id="{BB4D2456-072A-AF4B-94E1-3AE5D0ACFC6E}">
            <xm:f>OR(November!$C15="Normal uge 6")</xm:f>
            <x14:dxf>
              <font>
                <color theme="0"/>
              </font>
              <fill>
                <patternFill patternType="solid">
                  <bgColor theme="9" tint="-0.499984740745262"/>
                </patternFill>
              </fill>
            </x14:dxf>
          </x14:cfRule>
          <x14:cfRule type="expression" priority="102" id="{EBF26158-839A-1744-8BD2-78A9CED4F5AC}">
            <xm:f>OR(November!$C15="Rul 6")</xm:f>
            <x14:dxf>
              <font>
                <color theme="0"/>
              </font>
              <fill>
                <patternFill patternType="solid">
                  <bgColor theme="2" tint="-0.89996032593768116"/>
                </patternFill>
              </fill>
            </x14:dxf>
          </x14:cfRule>
          <x14:cfRule type="expression" priority="103" id="{00E4CF95-5A44-2C46-8B88-DC2899A46A96}">
            <xm:f>OR(November!$C15="Orlov")</xm:f>
            <x14:dxf>
              <font>
                <color theme="0"/>
              </font>
              <fill>
                <patternFill patternType="solid">
                  <bgColor theme="6" tint="-0.24994659260841701"/>
                </patternFill>
              </fill>
            </x14:dxf>
          </x14:cfRule>
          <x14:cfRule type="expression" priority="116" id="{AFEF1A55-0822-8444-B1F4-D8B0B51C26AB}">
            <xm:f>OR(November!$C15="feriedag")</xm:f>
            <x14:dxf>
              <font>
                <color theme="1"/>
              </font>
              <fill>
                <patternFill>
                  <bgColor theme="6" tint="0.39994506668294322"/>
                </patternFill>
              </fill>
            </x14:dxf>
          </x14:cfRule>
          <xm:sqref>P3:T32</xm:sqref>
        </x14:conditionalFormatting>
        <x14:conditionalFormatting xmlns:xm="http://schemas.microsoft.com/office/excel/2006/main">
          <x14:cfRule type="expression" priority="39" id="{A1ECB1AF-8491-E94B-90B4-FC70AEA1C4BF}">
            <xm:f>OR(December!$C15="Rul 6")</xm:f>
            <x14:dxf>
              <font>
                <color theme="0"/>
              </font>
              <fill>
                <patternFill patternType="solid">
                  <bgColor theme="2" tint="-0.89996032593768116"/>
                </patternFill>
              </fill>
            </x14:dxf>
          </x14:cfRule>
          <x14:cfRule type="expression" priority="34" id="{99CC9755-B2F9-3943-BFF1-6116B6D18D50}">
            <xm:f>OR(December!$C15="Rul 1")</xm:f>
            <x14:dxf>
              <font>
                <color theme="1"/>
              </font>
              <fill>
                <patternFill patternType="solid">
                  <bgColor theme="2"/>
                </patternFill>
              </fill>
            </x14:dxf>
          </x14:cfRule>
          <x14:cfRule type="expression" priority="4" stopIfTrue="1" id="{F1602A5A-D5F8-4D4A-A31E-ACC2DCE07967}">
            <xm:f>OR(December!$C15="Normal uge 5")</xm:f>
            <x14:dxf>
              <font>
                <color theme="0"/>
              </font>
              <fill>
                <patternFill patternType="solid">
                  <bgColor theme="9" tint="-0.24994659260841701"/>
                </patternFill>
              </fill>
            </x14:dxf>
          </x14:cfRule>
          <x14:cfRule type="expression" priority="40" id="{05F4F458-4154-6A4E-9476-60B6ED62BF30}">
            <xm:f>OR(December!$C15="Orlov")</xm:f>
            <x14:dxf>
              <font>
                <color theme="0"/>
              </font>
              <fill>
                <patternFill patternType="solid">
                  <bgColor theme="6" tint="-0.24994659260841701"/>
                </patternFill>
              </fill>
            </x14:dxf>
          </x14:cfRule>
          <x14:cfRule type="expression" priority="42" id="{19A51E01-66DD-F94E-A807-C3B07B3E59D8}">
            <xm:f>OR(December!$C15="Normal uge 2")</xm:f>
            <x14:dxf>
              <font>
                <color theme="1"/>
              </font>
              <fill>
                <patternFill patternType="solid">
                  <bgColor theme="4" tint="0.59996337778862885"/>
                </patternFill>
              </fill>
            </x14:dxf>
          </x14:cfRule>
          <x14:cfRule type="expression" priority="35" stopIfTrue="1" id="{1140D9F2-3806-EC45-BADA-C85ADAB6647C}">
            <xm:f>OR(December!$C15="Rul 2")</xm:f>
            <x14:dxf>
              <font>
                <color theme="1"/>
              </font>
              <fill>
                <patternFill patternType="solid">
                  <bgColor theme="2" tint="-9.9948118533890809E-2"/>
                </patternFill>
              </fill>
            </x14:dxf>
          </x14:cfRule>
          <x14:cfRule type="expression" priority="36" id="{2AF939FE-C674-E249-8A58-796719A72B65}">
            <xm:f>OR(December!$C15="Rul 3")</xm:f>
            <x14:dxf>
              <font>
                <color theme="1"/>
              </font>
              <fill>
                <patternFill patternType="solid">
                  <bgColor theme="2" tint="-0.24994659260841701"/>
                </patternFill>
              </fill>
            </x14:dxf>
          </x14:cfRule>
          <x14:cfRule type="expression" priority="37" id="{A33E9F45-B283-094C-99B1-B1033F3C0EF4}">
            <xm:f>OR(December!$C15="Rul 4")</xm:f>
            <x14:dxf>
              <font>
                <color theme="1"/>
              </font>
              <fill>
                <patternFill patternType="solid">
                  <bgColor theme="2" tint="-0.499984740745262"/>
                </patternFill>
              </fill>
            </x14:dxf>
          </x14:cfRule>
          <x14:cfRule type="expression" priority="54" id="{828341E4-AA99-7248-989D-C7690500F278}">
            <xm:f>OR(December!$C15="weekend")</xm:f>
            <x14:dxf>
              <font>
                <color theme="1"/>
              </font>
              <fill>
                <patternFill>
                  <bgColor theme="0" tint="-0.14996795556505021"/>
                </patternFill>
              </fill>
            </x14:dxf>
          </x14:cfRule>
          <x14:cfRule type="expression" priority="53" id="{D8746FF6-24B9-C64D-BDA2-7DAB63C0F014}">
            <xm:f>OR(December!$C15="feriedag")</xm:f>
            <x14:dxf>
              <font>
                <color theme="1"/>
              </font>
              <fill>
                <patternFill>
                  <bgColor theme="6" tint="0.39994506668294322"/>
                </patternFill>
              </fill>
            </x14:dxf>
          </x14:cfRule>
          <x14:cfRule type="expression" priority="52" id="{BF22286F-89E8-9D41-A867-09B45CD1694F}">
            <xm:f>OR(December!$C15="ferieåbning")</xm:f>
            <x14:dxf>
              <font>
                <color theme="1"/>
              </font>
              <fill>
                <patternFill>
                  <bgColor theme="9" tint="0.59996337778862885"/>
                </patternFill>
              </fill>
            </x14:dxf>
          </x14:cfRule>
          <x14:cfRule type="expression" priority="51" id="{13DAFF9D-7281-4547-8393-CE6B7D05777D}">
            <xm:f>OR(December!$C15="Anderledes dag")</xm:f>
            <x14:dxf>
              <font>
                <color theme="1"/>
              </font>
              <fill>
                <patternFill>
                  <bgColor theme="5" tint="0.59996337778862885"/>
                </patternFill>
              </fill>
            </x14:dxf>
          </x14:cfRule>
          <x14:cfRule type="expression" priority="50" id="{ECA81972-5BEA-7E48-8621-0362B2161373}">
            <xm:f>OR(December!$C15="Koloni")</xm:f>
            <x14:dxf>
              <font>
                <color theme="1"/>
              </font>
              <fill>
                <patternFill>
                  <bgColor theme="8" tint="0.59996337778862885"/>
                </patternFill>
              </fill>
            </x14:dxf>
          </x14:cfRule>
          <x14:cfRule type="expression" priority="49" id="{93DB31B5-A426-1B47-9B4B-64F9EDC95EA2}">
            <xm:f>OR(December!$C15="ekskursion")</xm:f>
            <x14:dxf>
              <font>
                <color theme="1"/>
              </font>
              <fill>
                <patternFill>
                  <bgColor rgb="FFFFFF00"/>
                </patternFill>
              </fill>
            </x14:dxf>
          </x14:cfRule>
          <x14:cfRule type="expression" priority="48" id="{45D818AB-7FDF-E247-877F-138BFEB7C372}">
            <xm:f>OR(December!$C15="Nul-dag")</xm:f>
            <x14:dxf>
              <font>
                <color theme="1"/>
              </font>
              <fill>
                <patternFill>
                  <bgColor theme="5" tint="0.79998168889431442"/>
                </patternFill>
              </fill>
            </x14:dxf>
          </x14:cfRule>
          <x14:cfRule type="expression" priority="47" id="{80D57FE4-0CE8-924B-BFA7-AE9AE0899A3E}">
            <xm:f>OR(December!$C15="SH-dag")</xm:f>
            <x14:dxf>
              <font>
                <color theme="1"/>
              </font>
              <fill>
                <patternFill>
                  <bgColor rgb="FFFF2F82"/>
                </patternFill>
              </fill>
            </x14:dxf>
          </x14:cfRule>
          <x14:cfRule type="expression" priority="46" id="{BB6F92D2-788B-9E4F-BDB8-DB7709DEAC30}">
            <xm:f>OR(December!$C15="pæd.dag")</xm:f>
            <x14:dxf>
              <font>
                <color theme="1"/>
              </font>
              <fill>
                <patternFill>
                  <bgColor theme="7" tint="0.39994506668294322"/>
                </patternFill>
              </fill>
            </x14:dxf>
          </x14:cfRule>
          <x14:cfRule type="expression" priority="45" id="{D3C96441-A7F4-0940-BA7D-7AC2663E8567}">
            <xm:f>OR(December!$C15="Normal uge 4")</xm:f>
            <x14:dxf>
              <font>
                <color theme="0"/>
              </font>
              <fill>
                <patternFill patternType="solid">
                  <bgColor theme="4" tint="-0.24994659260841701"/>
                </patternFill>
              </fill>
            </x14:dxf>
          </x14:cfRule>
          <x14:cfRule type="expression" priority="44" id="{C961FEED-8244-0B46-BC22-2A0DA6AD7B8A}">
            <xm:f>OR(December!$C15="Ikke relevant")</xm:f>
            <x14:dxf>
              <font>
                <color theme="0"/>
              </font>
              <fill>
                <patternFill>
                  <bgColor theme="1"/>
                </patternFill>
              </fill>
            </x14:dxf>
          </x14:cfRule>
          <x14:cfRule type="expression" priority="43" id="{1142AB15-4750-D14D-9F9A-379B5053EB3E}">
            <xm:f>OR(December!$C15="Normal uge 3")</xm:f>
            <x14:dxf>
              <font>
                <color theme="0"/>
              </font>
              <fill>
                <patternFill patternType="solid">
                  <bgColor theme="4" tint="0.39994506668294322"/>
                </patternFill>
              </fill>
            </x14:dxf>
          </x14:cfRule>
          <x14:cfRule type="expression" priority="3" stopIfTrue="1" id="{54CD67B1-1B9A-9841-BF3A-6FCAF2539A0A}">
            <xm:f>OR(December!$C15="Normal uge 6")</xm:f>
            <x14:dxf>
              <font>
                <color theme="0"/>
              </font>
              <fill>
                <patternFill patternType="solid">
                  <bgColor theme="9" tint="-0.499984740745262"/>
                </patternFill>
              </fill>
            </x14:dxf>
          </x14:cfRule>
          <x14:cfRule type="expression" priority="41" id="{C55FA0ED-B828-4545-B5F7-C3566A88A018}">
            <xm:f>OR(December!$C15="Normal uge 1")</xm:f>
            <x14:dxf>
              <font>
                <color theme="1"/>
              </font>
              <fill>
                <patternFill patternType="solid">
                  <bgColor theme="4" tint="0.79998168889431442"/>
                </patternFill>
              </fill>
            </x14:dxf>
          </x14:cfRule>
          <x14:cfRule type="expression" priority="38" id="{3A77547B-7CC8-A144-9F1F-37FFC65C9CE6}">
            <xm:f>OR(December!$C15="Rul 5")</xm:f>
            <x14:dxf>
              <font>
                <color theme="0"/>
              </font>
              <fill>
                <patternFill patternType="solid">
                  <bgColor theme="2" tint="-0.749961851863155"/>
                </patternFill>
              </fill>
            </x14:dxf>
          </x14:cfRule>
          <xm:sqref>U3:Y33</xm:sqref>
        </x14:conditionalFormatting>
        <x14:conditionalFormatting xmlns:xm="http://schemas.microsoft.com/office/excel/2006/main">
          <x14:cfRule type="expression" priority="31" id="{1FEFB468-B4F9-1B47-8F9A-043419D08D99}">
            <xm:f>OR(Januar!$C15="ferieåbning")</xm:f>
            <x14:dxf>
              <font>
                <color theme="1"/>
              </font>
              <fill>
                <patternFill>
                  <bgColor theme="9" tint="0.59996337778862885"/>
                </patternFill>
              </fill>
            </x14:dxf>
          </x14:cfRule>
          <x14:cfRule type="expression" priority="2" id="{7F9A741D-6CE9-084F-B3D7-059CCFF7A9A9}">
            <xm:f>OR(Januar!$C15="Normal uge 5")</xm:f>
            <x14:dxf>
              <font>
                <color theme="0"/>
              </font>
              <fill>
                <patternFill patternType="solid">
                  <bgColor theme="9" tint="-0.24994659260841701"/>
                </patternFill>
              </fill>
            </x14:dxf>
          </x14:cfRule>
          <x14:cfRule type="expression" priority="13" id="{DC5C951A-CDB7-3549-814F-99D4ADC1F289}">
            <xm:f>OR(Januar!$C15="Rul 1")</xm:f>
            <x14:dxf>
              <font>
                <color theme="1"/>
              </font>
              <fill>
                <patternFill patternType="solid">
                  <bgColor theme="2"/>
                </patternFill>
              </fill>
            </x14:dxf>
          </x14:cfRule>
          <x14:cfRule type="expression" priority="14" id="{B6CAF090-3BBA-EF43-99A3-B118615B0053}">
            <xm:f>OR(Januar!$C15="Rul 2")</xm:f>
            <x14:dxf>
              <font>
                <color theme="1"/>
              </font>
              <fill>
                <patternFill patternType="solid">
                  <bgColor theme="2" tint="-9.9948118533890809E-2"/>
                </patternFill>
              </fill>
            </x14:dxf>
          </x14:cfRule>
          <x14:cfRule type="expression" priority="15" id="{7DCB0BC5-2BC3-0E44-A5E8-0FD3BB8D70B7}">
            <xm:f>OR(Januar!$C15="Rul 3")</xm:f>
            <x14:dxf>
              <font>
                <color theme="1"/>
              </font>
              <fill>
                <patternFill patternType="solid">
                  <bgColor theme="2" tint="-0.24994659260841701"/>
                </patternFill>
              </fill>
            </x14:dxf>
          </x14:cfRule>
          <x14:cfRule type="expression" priority="16" id="{64A384DB-C2B4-5D4D-AD38-45A3C5A2C534}">
            <xm:f>OR(Januar!$C15="Rul 4")</xm:f>
            <x14:dxf>
              <font>
                <color theme="1"/>
              </font>
              <fill>
                <patternFill patternType="solid">
                  <bgColor theme="2" tint="-0.499984740745262"/>
                </patternFill>
              </fill>
            </x14:dxf>
          </x14:cfRule>
          <x14:cfRule type="expression" priority="17" id="{36BA27D7-EAC0-364A-BE7C-89B385767493}">
            <xm:f>OR(Januar!$C15="Rul 5")</xm:f>
            <x14:dxf>
              <font>
                <color theme="0"/>
              </font>
              <fill>
                <patternFill patternType="solid">
                  <bgColor theme="2" tint="-0.749961851863155"/>
                </patternFill>
              </fill>
            </x14:dxf>
          </x14:cfRule>
          <x14:cfRule type="expression" priority="18" id="{8E5C1AF7-1230-694F-82B7-5A3FD4430CDE}">
            <xm:f>OR(Januar!$C15="Rul 6")</xm:f>
            <x14:dxf>
              <font>
                <color theme="0"/>
              </font>
              <fill>
                <patternFill patternType="solid">
                  <bgColor theme="2" tint="-0.89996032593768116"/>
                </patternFill>
              </fill>
            </x14:dxf>
          </x14:cfRule>
          <x14:cfRule type="expression" priority="19" id="{CC157CEB-08F4-7542-A9E9-2DEF2464182F}">
            <xm:f>OR(Januar!$C15="Orlov")</xm:f>
            <x14:dxf>
              <font>
                <color theme="0"/>
              </font>
              <fill>
                <patternFill patternType="solid">
                  <bgColor theme="6" tint="-0.24994659260841701"/>
                </patternFill>
              </fill>
            </x14:dxf>
          </x14:cfRule>
          <x14:cfRule type="expression" priority="20" id="{6D3F4813-EC93-864D-9CB9-6C32A01C28F3}">
            <xm:f>OR(Januar!$C15="Normal uge 1")</xm:f>
            <x14:dxf>
              <font>
                <color theme="1"/>
              </font>
              <fill>
                <patternFill patternType="solid">
                  <bgColor theme="4" tint="0.79998168889431442"/>
                </patternFill>
              </fill>
            </x14:dxf>
          </x14:cfRule>
          <x14:cfRule type="expression" priority="25" id="{E1BB9DFF-706F-DE4C-99AA-0D5EAD971AE4}">
            <xm:f>OR(Januar!$C15="pæd.dag")</xm:f>
            <x14:dxf>
              <font>
                <color theme="1"/>
              </font>
              <fill>
                <patternFill>
                  <bgColor theme="7" tint="0.39994506668294322"/>
                </patternFill>
              </fill>
            </x14:dxf>
          </x14:cfRule>
          <x14:cfRule type="expression" priority="26" id="{70B83310-D510-CE45-BEEC-9734B8F45469}">
            <xm:f>OR(Januar!$C15="SH-dag")</xm:f>
            <x14:dxf>
              <font>
                <color theme="1"/>
              </font>
              <fill>
                <patternFill>
                  <bgColor rgb="FFFF2F82"/>
                </patternFill>
              </fill>
            </x14:dxf>
          </x14:cfRule>
          <x14:cfRule type="expression" priority="21" id="{B61381E3-8B82-4F46-BA48-B6DDDB19F667}">
            <xm:f>OR(Januar!$C15="Normal uge 2")</xm:f>
            <x14:dxf>
              <font>
                <color theme="1"/>
              </font>
              <fill>
                <patternFill patternType="solid">
                  <bgColor theme="4" tint="0.59996337778862885"/>
                </patternFill>
              </fill>
            </x14:dxf>
          </x14:cfRule>
          <x14:cfRule type="expression" priority="22" id="{A3EB4D99-B691-574A-9A11-33E1F9FE5847}">
            <xm:f>OR(Januar!$C15="Normal uge 3")</xm:f>
            <x14:dxf>
              <font>
                <color theme="0"/>
              </font>
              <fill>
                <patternFill patternType="solid">
                  <bgColor theme="4" tint="0.39994506668294322"/>
                </patternFill>
              </fill>
            </x14:dxf>
          </x14:cfRule>
          <x14:cfRule type="expression" priority="23" id="{BC1F2A40-44A4-F24A-83A1-031CC8A1C17A}">
            <xm:f>OR(Januar!$C15="Ikke relevant")</xm:f>
            <x14:dxf>
              <font>
                <color theme="0"/>
              </font>
              <fill>
                <patternFill>
                  <bgColor theme="1"/>
                </patternFill>
              </fill>
            </x14:dxf>
          </x14:cfRule>
          <x14:cfRule type="expression" priority="27" id="{286F9899-F3CC-A543-9875-4B4F760DEC6B}">
            <xm:f>OR(Januar!$C15="Nul-dag")</xm:f>
            <x14:dxf>
              <font>
                <color theme="1"/>
              </font>
              <fill>
                <patternFill>
                  <bgColor theme="5" tint="0.79998168889431442"/>
                </patternFill>
              </fill>
            </x14:dxf>
          </x14:cfRule>
          <x14:cfRule type="expression" priority="28" id="{82620156-F562-414A-961F-48FA37EBCAD3}">
            <xm:f>OR(Januar!$C15="ekskursion")</xm:f>
            <x14:dxf>
              <font>
                <color theme="1"/>
              </font>
              <fill>
                <patternFill>
                  <bgColor rgb="FFFFFF00"/>
                </patternFill>
              </fill>
            </x14:dxf>
          </x14:cfRule>
          <x14:cfRule type="expression" priority="29" id="{0C283027-A912-7049-966D-FB9D551E85C2}">
            <xm:f>OR(Januar!$C15="Koloni")</xm:f>
            <x14:dxf>
              <font>
                <color theme="1"/>
              </font>
              <fill>
                <patternFill>
                  <bgColor theme="8" tint="0.59996337778862885"/>
                </patternFill>
              </fill>
            </x14:dxf>
          </x14:cfRule>
          <x14:cfRule type="expression" priority="30" id="{18B61F05-ED65-1C43-A1B1-5B4684FBAAA4}">
            <xm:f>OR(Januar!$C15="Anderledes dag")</xm:f>
            <x14:dxf>
              <font>
                <color theme="1"/>
              </font>
              <fill>
                <patternFill>
                  <bgColor theme="5" tint="0.59996337778862885"/>
                </patternFill>
              </fill>
            </x14:dxf>
          </x14:cfRule>
          <x14:cfRule type="expression" priority="24" id="{71EB9B80-9E45-1048-8B67-CCAB8A689562}">
            <xm:f>OR(Januar!$C15="Normal uge 4")</xm:f>
            <x14:dxf>
              <font>
                <color theme="0"/>
              </font>
              <fill>
                <patternFill patternType="solid">
                  <bgColor theme="4" tint="-0.24994659260841701"/>
                </patternFill>
              </fill>
            </x14:dxf>
          </x14:cfRule>
          <x14:cfRule type="expression" priority="1" stopIfTrue="1" id="{F53B3B3E-C987-0243-BB66-594B80E48297}">
            <xm:f>OR(Januar!$C15="Normal uge 6")</xm:f>
            <x14:dxf>
              <font>
                <color theme="0"/>
              </font>
              <fill>
                <patternFill patternType="solid">
                  <bgColor theme="9" tint="-0.499984740745262"/>
                </patternFill>
              </fill>
            </x14:dxf>
          </x14:cfRule>
          <x14:cfRule type="expression" priority="33" id="{4D5F3C92-9EE6-2F46-AF6D-585E34ACE241}">
            <xm:f>OR(Januar!$C15="weekend")</xm:f>
            <x14:dxf>
              <font>
                <color theme="1"/>
              </font>
              <fill>
                <patternFill>
                  <bgColor theme="0" tint="-0.14996795556505021"/>
                </patternFill>
              </fill>
            </x14:dxf>
          </x14:cfRule>
          <x14:cfRule type="expression" priority="32" id="{86936326-F48E-DB46-998B-A39BE3DC9DA9}">
            <xm:f>OR(Januar!$C15="feriedag")</xm:f>
            <x14:dxf>
              <font>
                <color theme="1"/>
              </font>
              <fill>
                <patternFill>
                  <bgColor theme="6" tint="0.39994506668294322"/>
                </patternFill>
              </fill>
            </x14:dxf>
          </x14:cfRule>
          <xm:sqref>Z3:AD33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35"/>
  <sheetViews>
    <sheetView showGridLines="0" showZeros="0" topLeftCell="A3" zoomScale="80" zoomScaleNormal="80" zoomScalePageLayoutView="80" workbookViewId="0">
      <selection activeCell="C34" sqref="C34"/>
    </sheetView>
  </sheetViews>
  <sheetFormatPr baseColWidth="10" defaultColWidth="12.5" defaultRowHeight="36" customHeight="1"/>
  <cols>
    <col min="1" max="2" width="4.33203125" style="48" customWidth="1"/>
    <col min="3" max="3" width="7.83203125" style="49" customWidth="1"/>
    <col min="4" max="4" width="20.1640625" style="49" customWidth="1"/>
    <col min="5" max="5" width="3.1640625" style="47" customWidth="1"/>
    <col min="6" max="7" width="4.33203125" style="48" customWidth="1"/>
    <col min="8" max="8" width="8" style="49" customWidth="1"/>
    <col min="9" max="9" width="20.33203125" style="49" customWidth="1"/>
    <col min="10" max="10" width="5" style="47" customWidth="1"/>
    <col min="11" max="12" width="4.33203125" style="48" customWidth="1"/>
    <col min="13" max="13" width="7.83203125" style="49" customWidth="1"/>
    <col min="14" max="14" width="20.1640625" style="49" customWidth="1"/>
    <col min="15" max="15" width="4" style="47" customWidth="1"/>
    <col min="16" max="17" width="4.33203125" style="48" customWidth="1"/>
    <col min="18" max="18" width="7.83203125" style="49" customWidth="1"/>
    <col min="19" max="19" width="20.1640625" style="49" customWidth="1"/>
    <col min="20" max="20" width="4" style="47" customWidth="1"/>
    <col min="21" max="21" width="5.33203125" style="48" customWidth="1"/>
    <col min="22" max="22" width="4.33203125" style="48" customWidth="1"/>
    <col min="23" max="23" width="7.83203125" style="49" customWidth="1"/>
    <col min="24" max="24" width="20.1640625" style="49" customWidth="1"/>
    <col min="25" max="25" width="4" style="47" customWidth="1"/>
    <col min="26" max="27" width="4.33203125" style="48" customWidth="1"/>
    <col min="28" max="28" width="7.83203125" style="49" customWidth="1"/>
    <col min="29" max="29" width="20.1640625" style="49" customWidth="1"/>
    <col min="30" max="30" width="4" style="47" customWidth="1"/>
    <col min="31" max="16384" width="12.5" style="37"/>
  </cols>
  <sheetData>
    <row r="1" spans="1:30" ht="36" customHeight="1">
      <c r="A1" s="347" t="str">
        <f>'1.halvaar'!A1</f>
        <v>Halvårskalender for  vedr. skoleåret 2025-2026</v>
      </c>
      <c r="B1" s="348"/>
      <c r="C1" s="349"/>
      <c r="D1" s="349"/>
      <c r="E1" s="350"/>
      <c r="F1" s="351"/>
      <c r="G1" s="348"/>
      <c r="H1" s="349"/>
      <c r="I1" s="349"/>
      <c r="J1" s="352"/>
      <c r="K1" s="351"/>
      <c r="L1" s="348"/>
      <c r="M1" s="349"/>
      <c r="N1" s="349"/>
      <c r="O1" s="352"/>
      <c r="P1" s="351"/>
      <c r="Q1" s="348"/>
      <c r="R1" s="349"/>
      <c r="S1" s="349"/>
      <c r="T1" s="352"/>
      <c r="U1" s="351"/>
      <c r="V1" s="348"/>
      <c r="W1" s="349"/>
      <c r="X1" s="349"/>
      <c r="Y1" s="352"/>
      <c r="Z1" s="351"/>
      <c r="AA1" s="348"/>
      <c r="AB1" s="349"/>
      <c r="AC1" s="349"/>
      <c r="AD1" s="350"/>
    </row>
    <row r="2" spans="1:30" s="36" customFormat="1" ht="23" customHeight="1">
      <c r="A2" s="346" t="s">
        <v>65</v>
      </c>
      <c r="B2" s="342"/>
      <c r="C2" s="343"/>
      <c r="D2" s="343"/>
      <c r="E2" s="344"/>
      <c r="F2" s="341" t="s">
        <v>66</v>
      </c>
      <c r="G2" s="342"/>
      <c r="H2" s="343"/>
      <c r="I2" s="343"/>
      <c r="J2" s="344"/>
      <c r="K2" s="341" t="s">
        <v>67</v>
      </c>
      <c r="L2" s="342"/>
      <c r="M2" s="343"/>
      <c r="N2" s="343"/>
      <c r="O2" s="344"/>
      <c r="P2" s="341" t="s">
        <v>68</v>
      </c>
      <c r="Q2" s="342"/>
      <c r="R2" s="343"/>
      <c r="S2" s="343"/>
      <c r="T2" s="344"/>
      <c r="U2" s="341" t="s">
        <v>69</v>
      </c>
      <c r="V2" s="342"/>
      <c r="W2" s="343"/>
      <c r="X2" s="343"/>
      <c r="Y2" s="344"/>
      <c r="Z2" s="341" t="s">
        <v>70</v>
      </c>
      <c r="AA2" s="342"/>
      <c r="AB2" s="343"/>
      <c r="AC2" s="343"/>
      <c r="AD2" s="344"/>
    </row>
    <row r="3" spans="1:30" ht="23" customHeight="1">
      <c r="A3" s="459">
        <f>Februar!A15</f>
        <v>1</v>
      </c>
      <c r="B3" s="460" t="str">
        <f>Februar!B15</f>
        <v>sø</v>
      </c>
      <c r="C3" s="503" t="str">
        <f>Februar!C15</f>
        <v>Weekend</v>
      </c>
      <c r="D3" s="504" t="str">
        <f>Februar!DL15</f>
        <v/>
      </c>
      <c r="E3" s="339" t="str">
        <f>Februar!D15</f>
        <v/>
      </c>
      <c r="F3" s="459">
        <f>Marts!A15</f>
        <v>1</v>
      </c>
      <c r="G3" s="460" t="str">
        <f>Marts!B15</f>
        <v>sø</v>
      </c>
      <c r="H3" s="503" t="str">
        <f>Marts!C15</f>
        <v>Weekend</v>
      </c>
      <c r="I3" s="504" t="str">
        <f>Marts!DL15</f>
        <v/>
      </c>
      <c r="J3" s="337" t="str">
        <f>Marts!D15</f>
        <v/>
      </c>
      <c r="K3" s="459">
        <f>April!A15</f>
        <v>1</v>
      </c>
      <c r="L3" s="460" t="str">
        <f>April!B15</f>
        <v>on</v>
      </c>
      <c r="M3" s="503" t="str">
        <f>April!C15</f>
        <v>Normal uge 1</v>
      </c>
      <c r="N3" s="504" t="str">
        <f>April!DL15</f>
        <v/>
      </c>
      <c r="O3" s="337" t="str">
        <f>April!D15</f>
        <v/>
      </c>
      <c r="P3" s="459">
        <f>Maj!A15</f>
        <v>1</v>
      </c>
      <c r="Q3" s="460" t="str">
        <f>Maj!B15</f>
        <v>fr</v>
      </c>
      <c r="R3" s="503" t="str">
        <f>Maj!C15</f>
        <v>Normal uge 1</v>
      </c>
      <c r="S3" s="504" t="str">
        <f>Maj!DL15</f>
        <v/>
      </c>
      <c r="T3" s="337" t="str">
        <f>Maj!D15</f>
        <v/>
      </c>
      <c r="U3" s="459">
        <f>Juni!A15</f>
        <v>1</v>
      </c>
      <c r="V3" s="460" t="str">
        <f>Juni!B15</f>
        <v>ma</v>
      </c>
      <c r="W3" s="503" t="str">
        <f>Juni!C15</f>
        <v>Normal uge 1</v>
      </c>
      <c r="X3" s="504" t="str">
        <f>Juni!DL15</f>
        <v/>
      </c>
      <c r="Y3" s="337">
        <f>Juni!D15</f>
        <v>22.571428571428573</v>
      </c>
      <c r="Z3" s="459">
        <f>Juli!A15</f>
        <v>1</v>
      </c>
      <c r="AA3" s="460" t="str">
        <f>Juli!B15</f>
        <v>on</v>
      </c>
      <c r="AB3" s="503" t="str">
        <f>Juli!C15</f>
        <v>Normal uge 1</v>
      </c>
      <c r="AC3" s="504" t="str">
        <f>Juli!DL15</f>
        <v/>
      </c>
      <c r="AD3" s="337" t="str">
        <f>Juli!D15</f>
        <v/>
      </c>
    </row>
    <row r="4" spans="1:30" ht="23" customHeight="1">
      <c r="A4" s="459">
        <f>Februar!A16</f>
        <v>2</v>
      </c>
      <c r="B4" s="460" t="str">
        <f>Februar!B16</f>
        <v>ma</v>
      </c>
      <c r="C4" s="503" t="str">
        <f>Februar!C16</f>
        <v>Normal uge 1</v>
      </c>
      <c r="D4" s="504" t="str">
        <f>Februar!DL16</f>
        <v/>
      </c>
      <c r="E4" s="339">
        <f>Februar!D16</f>
        <v>5.5714285714285712</v>
      </c>
      <c r="F4" s="459">
        <f>Marts!A16</f>
        <v>2</v>
      </c>
      <c r="G4" s="460" t="str">
        <f>Marts!B16</f>
        <v>ma</v>
      </c>
      <c r="H4" s="503" t="str">
        <f>Marts!C16</f>
        <v>Normal uge 1</v>
      </c>
      <c r="I4" s="504" t="str">
        <f>Marts!DL16</f>
        <v/>
      </c>
      <c r="J4" s="337">
        <f>Marts!D16</f>
        <v>9.5714285714285712</v>
      </c>
      <c r="K4" s="459">
        <f>April!A16</f>
        <v>2</v>
      </c>
      <c r="L4" s="460" t="str">
        <f>April!B16</f>
        <v>to</v>
      </c>
      <c r="M4" s="503" t="str">
        <f>April!C16</f>
        <v>SH-dag</v>
      </c>
      <c r="N4" s="504" t="str">
        <f>April!DL16</f>
        <v>Skærtorsdag</v>
      </c>
      <c r="O4" s="337" t="str">
        <f>April!D16</f>
        <v/>
      </c>
      <c r="P4" s="459">
        <f>Maj!A16</f>
        <v>2</v>
      </c>
      <c r="Q4" s="460" t="str">
        <f>Maj!B16</f>
        <v>lø</v>
      </c>
      <c r="R4" s="503" t="str">
        <f>Maj!C16</f>
        <v>Weekend</v>
      </c>
      <c r="S4" s="504" t="str">
        <f>Maj!DL16</f>
        <v/>
      </c>
      <c r="T4" s="337" t="str">
        <f>Maj!D16</f>
        <v/>
      </c>
      <c r="U4" s="459">
        <f>Juni!A16</f>
        <v>2</v>
      </c>
      <c r="V4" s="460" t="str">
        <f>Juni!B16</f>
        <v>ti</v>
      </c>
      <c r="W4" s="503" t="str">
        <f>Juni!C16</f>
        <v>Normal uge 1</v>
      </c>
      <c r="X4" s="504" t="str">
        <f>Juni!DL16</f>
        <v/>
      </c>
      <c r="Y4" s="337" t="str">
        <f>Juni!D16</f>
        <v/>
      </c>
      <c r="Z4" s="459">
        <f>Juli!A16</f>
        <v>2</v>
      </c>
      <c r="AA4" s="460" t="str">
        <f>Juli!B16</f>
        <v>to</v>
      </c>
      <c r="AB4" s="503" t="str">
        <f>Juli!C16</f>
        <v>Normal uge 1</v>
      </c>
      <c r="AC4" s="504" t="str">
        <f>Juli!DL16</f>
        <v/>
      </c>
      <c r="AD4" s="337" t="str">
        <f>Juli!D16</f>
        <v/>
      </c>
    </row>
    <row r="5" spans="1:30" ht="23" customHeight="1">
      <c r="A5" s="459">
        <f>Februar!A17</f>
        <v>3</v>
      </c>
      <c r="B5" s="460" t="str">
        <f>Februar!B17</f>
        <v>ti</v>
      </c>
      <c r="C5" s="503" t="str">
        <f>Februar!C17</f>
        <v>Normal uge 1</v>
      </c>
      <c r="D5" s="504" t="str">
        <f>Februar!DL17</f>
        <v/>
      </c>
      <c r="E5" s="339" t="str">
        <f>Februar!D17</f>
        <v/>
      </c>
      <c r="F5" s="459">
        <f>Marts!A17</f>
        <v>3</v>
      </c>
      <c r="G5" s="460" t="str">
        <f>Marts!B17</f>
        <v>ti</v>
      </c>
      <c r="H5" s="503" t="str">
        <f>Marts!C17</f>
        <v>Normal uge 1</v>
      </c>
      <c r="I5" s="504" t="str">
        <f>Marts!DL17</f>
        <v/>
      </c>
      <c r="J5" s="337" t="str">
        <f>Marts!D17</f>
        <v/>
      </c>
      <c r="K5" s="459">
        <f>April!A17</f>
        <v>3</v>
      </c>
      <c r="L5" s="460" t="str">
        <f>April!B17</f>
        <v>fr</v>
      </c>
      <c r="M5" s="503" t="str">
        <f>April!C17</f>
        <v>SH-dag</v>
      </c>
      <c r="N5" s="504" t="str">
        <f>April!DL17</f>
        <v>Langfredag</v>
      </c>
      <c r="O5" s="337" t="str">
        <f>April!D17</f>
        <v/>
      </c>
      <c r="P5" s="459">
        <f>Maj!A17</f>
        <v>3</v>
      </c>
      <c r="Q5" s="460" t="str">
        <f>Maj!B17</f>
        <v>sø</v>
      </c>
      <c r="R5" s="503" t="str">
        <f>Maj!C17</f>
        <v>Weekend</v>
      </c>
      <c r="S5" s="504" t="str">
        <f>Maj!DL17</f>
        <v/>
      </c>
      <c r="T5" s="337" t="str">
        <f>Maj!D17</f>
        <v/>
      </c>
      <c r="U5" s="459">
        <f>Juni!A17</f>
        <v>3</v>
      </c>
      <c r="V5" s="460" t="str">
        <f>Juni!B17</f>
        <v>on</v>
      </c>
      <c r="W5" s="503" t="str">
        <f>Juni!C17</f>
        <v>Normal uge 1</v>
      </c>
      <c r="X5" s="504" t="str">
        <f>Juni!DL17</f>
        <v/>
      </c>
      <c r="Y5" s="337" t="str">
        <f>Juni!D17</f>
        <v/>
      </c>
      <c r="Z5" s="459">
        <f>Juli!A17</f>
        <v>3</v>
      </c>
      <c r="AA5" s="460" t="str">
        <f>Juli!B17</f>
        <v>fr</v>
      </c>
      <c r="AB5" s="503" t="str">
        <f>Juli!C17</f>
        <v>Normal uge 1</v>
      </c>
      <c r="AC5" s="504" t="str">
        <f>Juli!DL17</f>
        <v/>
      </c>
      <c r="AD5" s="337" t="str">
        <f>Juli!D17</f>
        <v/>
      </c>
    </row>
    <row r="6" spans="1:30" ht="23" customHeight="1">
      <c r="A6" s="459">
        <f>Februar!A18</f>
        <v>4</v>
      </c>
      <c r="B6" s="460" t="str">
        <f>Februar!B18</f>
        <v>on</v>
      </c>
      <c r="C6" s="503" t="str">
        <f>Februar!C18</f>
        <v>Normal uge 1</v>
      </c>
      <c r="D6" s="504" t="str">
        <f>Februar!DL18</f>
        <v/>
      </c>
      <c r="E6" s="339" t="str">
        <f>Februar!D18</f>
        <v/>
      </c>
      <c r="F6" s="459">
        <f>Marts!A18</f>
        <v>4</v>
      </c>
      <c r="G6" s="460" t="str">
        <f>Marts!B18</f>
        <v>on</v>
      </c>
      <c r="H6" s="503" t="str">
        <f>Marts!C18</f>
        <v>Normal uge 1</v>
      </c>
      <c r="I6" s="504" t="str">
        <f>Marts!DL18</f>
        <v/>
      </c>
      <c r="J6" s="337" t="str">
        <f>Marts!D18</f>
        <v/>
      </c>
      <c r="K6" s="459">
        <f>April!A18</f>
        <v>4</v>
      </c>
      <c r="L6" s="460" t="str">
        <f>April!B18</f>
        <v>lø</v>
      </c>
      <c r="M6" s="503" t="str">
        <f>April!C18</f>
        <v>Weekend</v>
      </c>
      <c r="N6" s="504" t="str">
        <f>April!DL18</f>
        <v/>
      </c>
      <c r="O6" s="337" t="str">
        <f>April!D18</f>
        <v/>
      </c>
      <c r="P6" s="459">
        <f>Maj!A18</f>
        <v>4</v>
      </c>
      <c r="Q6" s="460" t="str">
        <f>Maj!B18</f>
        <v>ma</v>
      </c>
      <c r="R6" s="503" t="str">
        <f>Maj!C18</f>
        <v>Normal uge 1</v>
      </c>
      <c r="S6" s="504" t="str">
        <f>Maj!DL18</f>
        <v/>
      </c>
      <c r="T6" s="337">
        <f>Maj!D18</f>
        <v>18.571428571428573</v>
      </c>
      <c r="U6" s="459">
        <f>Juni!A18</f>
        <v>4</v>
      </c>
      <c r="V6" s="460" t="str">
        <f>Juni!B18</f>
        <v>to</v>
      </c>
      <c r="W6" s="503" t="str">
        <f>Juni!C18</f>
        <v>Normal uge 1</v>
      </c>
      <c r="X6" s="504" t="str">
        <f>Juni!DL18</f>
        <v/>
      </c>
      <c r="Y6" s="337" t="str">
        <f>Juni!D18</f>
        <v/>
      </c>
      <c r="Z6" s="459">
        <f>Juli!A18</f>
        <v>4</v>
      </c>
      <c r="AA6" s="460" t="str">
        <f>Juli!B18</f>
        <v>lø</v>
      </c>
      <c r="AB6" s="503" t="str">
        <f>Juli!C18</f>
        <v>Weekend</v>
      </c>
      <c r="AC6" s="504" t="str">
        <f>Juli!DL18</f>
        <v/>
      </c>
      <c r="AD6" s="337" t="str">
        <f>Juli!D18</f>
        <v/>
      </c>
    </row>
    <row r="7" spans="1:30" ht="23" customHeight="1">
      <c r="A7" s="459">
        <f>Februar!A19</f>
        <v>5</v>
      </c>
      <c r="B7" s="460" t="str">
        <f>Februar!B19</f>
        <v>to</v>
      </c>
      <c r="C7" s="503" t="str">
        <f>Februar!C19</f>
        <v>Normal uge 1</v>
      </c>
      <c r="D7" s="504" t="str">
        <f>Februar!DL19</f>
        <v/>
      </c>
      <c r="E7" s="339" t="str">
        <f>Februar!D19</f>
        <v/>
      </c>
      <c r="F7" s="459">
        <f>Marts!A19</f>
        <v>5</v>
      </c>
      <c r="G7" s="460" t="str">
        <f>Marts!B19</f>
        <v>to</v>
      </c>
      <c r="H7" s="503" t="str">
        <f>Marts!C19</f>
        <v>Normal uge 1</v>
      </c>
      <c r="I7" s="504" t="str">
        <f>Marts!DL19</f>
        <v/>
      </c>
      <c r="J7" s="337" t="str">
        <f>Marts!D19</f>
        <v/>
      </c>
      <c r="K7" s="459">
        <f>April!A19</f>
        <v>5</v>
      </c>
      <c r="L7" s="460" t="str">
        <f>April!B19</f>
        <v>sø</v>
      </c>
      <c r="M7" s="503" t="str">
        <f>April!C19</f>
        <v>Weekend</v>
      </c>
      <c r="N7" s="504" t="str">
        <f>April!DL19</f>
        <v>Påskesøndag</v>
      </c>
      <c r="O7" s="337" t="str">
        <f>April!D19</f>
        <v/>
      </c>
      <c r="P7" s="459">
        <f>Maj!A19</f>
        <v>5</v>
      </c>
      <c r="Q7" s="460" t="str">
        <f>Maj!B19</f>
        <v>ti</v>
      </c>
      <c r="R7" s="503" t="str">
        <f>Maj!C19</f>
        <v>Normal uge 1</v>
      </c>
      <c r="S7" s="504" t="str">
        <f>Maj!DL19</f>
        <v/>
      </c>
      <c r="T7" s="337" t="str">
        <f>Maj!D19</f>
        <v/>
      </c>
      <c r="U7" s="459">
        <f>Juni!A19</f>
        <v>5</v>
      </c>
      <c r="V7" s="460" t="str">
        <f>Juni!B19</f>
        <v>fr</v>
      </c>
      <c r="W7" s="503" t="str">
        <f>Juni!C19</f>
        <v>Normal uge 1</v>
      </c>
      <c r="X7" s="504" t="str">
        <f>Juni!DL19</f>
        <v>Grundlovsdag</v>
      </c>
      <c r="Y7" s="337" t="str">
        <f>Juni!D19</f>
        <v/>
      </c>
      <c r="Z7" s="459">
        <f>Juli!A19</f>
        <v>5</v>
      </c>
      <c r="AA7" s="460" t="str">
        <f>Juli!B19</f>
        <v>sø</v>
      </c>
      <c r="AB7" s="503" t="str">
        <f>Juli!C19</f>
        <v>Weekend</v>
      </c>
      <c r="AC7" s="504" t="str">
        <f>Juli!DL19</f>
        <v/>
      </c>
      <c r="AD7" s="337" t="str">
        <f>Juli!D19</f>
        <v/>
      </c>
    </row>
    <row r="8" spans="1:30" ht="23" customHeight="1">
      <c r="A8" s="459">
        <f>Februar!A20</f>
        <v>6</v>
      </c>
      <c r="B8" s="460" t="str">
        <f>Februar!B20</f>
        <v>fr</v>
      </c>
      <c r="C8" s="503" t="str">
        <f>Februar!C20</f>
        <v>Normal uge 1</v>
      </c>
      <c r="D8" s="504" t="str">
        <f>Februar!DL20</f>
        <v/>
      </c>
      <c r="E8" s="339" t="str">
        <f>Februar!D20</f>
        <v/>
      </c>
      <c r="F8" s="459">
        <f>Marts!A20</f>
        <v>6</v>
      </c>
      <c r="G8" s="460" t="str">
        <f>Marts!B20</f>
        <v>fr</v>
      </c>
      <c r="H8" s="503" t="str">
        <f>Marts!C20</f>
        <v>Normal uge 1</v>
      </c>
      <c r="I8" s="504" t="str">
        <f>Marts!DL20</f>
        <v/>
      </c>
      <c r="J8" s="337" t="str">
        <f>Marts!D20</f>
        <v/>
      </c>
      <c r="K8" s="459">
        <f>April!A20</f>
        <v>6</v>
      </c>
      <c r="L8" s="460" t="str">
        <f>April!B20</f>
        <v>ma</v>
      </c>
      <c r="M8" s="503" t="str">
        <f>April!C20</f>
        <v>SH-dag</v>
      </c>
      <c r="N8" s="504" t="str">
        <f>April!DL20</f>
        <v>2. Påskedag</v>
      </c>
      <c r="O8" s="337">
        <f>April!D20</f>
        <v>14.571428571428571</v>
      </c>
      <c r="P8" s="459">
        <f>Maj!A20</f>
        <v>6</v>
      </c>
      <c r="Q8" s="460" t="str">
        <f>Maj!B20</f>
        <v>on</v>
      </c>
      <c r="R8" s="503" t="str">
        <f>Maj!C20</f>
        <v>Normal uge 1</v>
      </c>
      <c r="S8" s="504" t="str">
        <f>Maj!DL20</f>
        <v/>
      </c>
      <c r="T8" s="337" t="str">
        <f>Maj!D20</f>
        <v/>
      </c>
      <c r="U8" s="459">
        <f>Juni!A20</f>
        <v>6</v>
      </c>
      <c r="V8" s="460" t="str">
        <f>Juni!B20</f>
        <v>lø</v>
      </c>
      <c r="W8" s="503" t="str">
        <f>Juni!C20</f>
        <v>Weekend</v>
      </c>
      <c r="X8" s="596" t="str">
        <f>Juni!DL20</f>
        <v/>
      </c>
      <c r="Y8" s="337" t="str">
        <f>Juni!D20</f>
        <v/>
      </c>
      <c r="Z8" s="459">
        <f>Juli!A20</f>
        <v>6</v>
      </c>
      <c r="AA8" s="460" t="str">
        <f>Juli!B20</f>
        <v>ma</v>
      </c>
      <c r="AB8" s="503" t="str">
        <f>Juli!C20</f>
        <v>Normal uge 1</v>
      </c>
      <c r="AC8" s="504" t="str">
        <f>Juli!DL20</f>
        <v/>
      </c>
      <c r="AD8" s="337">
        <f>Juli!D20</f>
        <v>27.571428571428573</v>
      </c>
    </row>
    <row r="9" spans="1:30" ht="23" customHeight="1">
      <c r="A9" s="459">
        <f>Februar!A21</f>
        <v>7</v>
      </c>
      <c r="B9" s="460" t="str">
        <f>Februar!B21</f>
        <v>lø</v>
      </c>
      <c r="C9" s="503" t="str">
        <f>Februar!C21</f>
        <v>Weekend</v>
      </c>
      <c r="D9" s="504" t="str">
        <f>Februar!DL21</f>
        <v/>
      </c>
      <c r="E9" s="339" t="str">
        <f>Februar!D21</f>
        <v/>
      </c>
      <c r="F9" s="459">
        <f>Marts!A21</f>
        <v>7</v>
      </c>
      <c r="G9" s="460" t="str">
        <f>Marts!B21</f>
        <v>lø</v>
      </c>
      <c r="H9" s="503" t="str">
        <f>Marts!C21</f>
        <v>Weekend</v>
      </c>
      <c r="I9" s="504" t="str">
        <f>Marts!DL21</f>
        <v/>
      </c>
      <c r="J9" s="337" t="str">
        <f>Marts!D21</f>
        <v/>
      </c>
      <c r="K9" s="459">
        <f>April!A21</f>
        <v>7</v>
      </c>
      <c r="L9" s="460" t="str">
        <f>April!B21</f>
        <v>ti</v>
      </c>
      <c r="M9" s="503" t="str">
        <f>April!C21</f>
        <v>Normal uge 1</v>
      </c>
      <c r="N9" s="504" t="str">
        <f>April!DL21</f>
        <v/>
      </c>
      <c r="O9" s="337" t="str">
        <f>April!D21</f>
        <v/>
      </c>
      <c r="P9" s="459">
        <f>Maj!A21</f>
        <v>7</v>
      </c>
      <c r="Q9" s="460" t="str">
        <f>Maj!B21</f>
        <v>to</v>
      </c>
      <c r="R9" s="503" t="str">
        <f>Maj!C21</f>
        <v>Normal uge 1</v>
      </c>
      <c r="S9" s="504" t="str">
        <f>Maj!DL21</f>
        <v/>
      </c>
      <c r="T9" s="337" t="str">
        <f>Maj!D21</f>
        <v/>
      </c>
      <c r="U9" s="459">
        <f>Juni!A21</f>
        <v>7</v>
      </c>
      <c r="V9" s="460" t="str">
        <f>Juni!B21</f>
        <v>sø</v>
      </c>
      <c r="W9" s="503" t="str">
        <f>Juni!C21</f>
        <v>Weekend</v>
      </c>
      <c r="X9" s="504" t="str">
        <f>Juni!DL21</f>
        <v/>
      </c>
      <c r="Y9" s="337" t="str">
        <f>Juni!D21</f>
        <v/>
      </c>
      <c r="Z9" s="459">
        <f>Juli!A21</f>
        <v>7</v>
      </c>
      <c r="AA9" s="460" t="str">
        <f>Juli!B21</f>
        <v>ti</v>
      </c>
      <c r="AB9" s="503" t="str">
        <f>Juli!C21</f>
        <v>Normal uge 1</v>
      </c>
      <c r="AC9" s="504" t="str">
        <f>Juli!DL21</f>
        <v/>
      </c>
      <c r="AD9" s="337" t="str">
        <f>Juli!D21</f>
        <v/>
      </c>
    </row>
    <row r="10" spans="1:30" ht="23" customHeight="1">
      <c r="A10" s="459">
        <f>Februar!A22</f>
        <v>8</v>
      </c>
      <c r="B10" s="460" t="str">
        <f>Februar!B22</f>
        <v>sø</v>
      </c>
      <c r="C10" s="503" t="str">
        <f>Februar!C22</f>
        <v>Weekend</v>
      </c>
      <c r="D10" s="504" t="str">
        <f>Februar!DL22</f>
        <v/>
      </c>
      <c r="E10" s="339" t="str">
        <f>Februar!D22</f>
        <v/>
      </c>
      <c r="F10" s="459">
        <f>Marts!A22</f>
        <v>8</v>
      </c>
      <c r="G10" s="460" t="str">
        <f>Marts!B22</f>
        <v>sø</v>
      </c>
      <c r="H10" s="503" t="str">
        <f>Marts!C22</f>
        <v>Weekend</v>
      </c>
      <c r="I10" s="504" t="str">
        <f>Marts!DL22</f>
        <v/>
      </c>
      <c r="J10" s="337" t="str">
        <f>Marts!D22</f>
        <v/>
      </c>
      <c r="K10" s="459">
        <f>April!A22</f>
        <v>8</v>
      </c>
      <c r="L10" s="460" t="str">
        <f>April!B22</f>
        <v>on</v>
      </c>
      <c r="M10" s="503" t="str">
        <f>April!C22</f>
        <v>Normal uge 1</v>
      </c>
      <c r="N10" s="504" t="str">
        <f>April!DL22</f>
        <v/>
      </c>
      <c r="O10" s="337" t="str">
        <f>April!D22</f>
        <v/>
      </c>
      <c r="P10" s="459">
        <f>Maj!A22</f>
        <v>8</v>
      </c>
      <c r="Q10" s="460" t="str">
        <f>Maj!B22</f>
        <v>fr</v>
      </c>
      <c r="R10" s="503" t="str">
        <f>Maj!C22</f>
        <v>Normal uge 1</v>
      </c>
      <c r="S10" s="504" t="str">
        <f>Maj!DL22</f>
        <v/>
      </c>
      <c r="T10" s="337" t="str">
        <f>Maj!D22</f>
        <v/>
      </c>
      <c r="U10" s="459">
        <f>Juni!A22</f>
        <v>8</v>
      </c>
      <c r="V10" s="460" t="str">
        <f>Juni!B22</f>
        <v>ma</v>
      </c>
      <c r="W10" s="503" t="str">
        <f>Juni!C22</f>
        <v>Normal uge 1</v>
      </c>
      <c r="X10" s="504" t="str">
        <f>Juni!DL22</f>
        <v/>
      </c>
      <c r="Y10" s="337">
        <f>Juni!D22</f>
        <v>23.571428571428573</v>
      </c>
      <c r="Z10" s="459">
        <f>Juli!A22</f>
        <v>8</v>
      </c>
      <c r="AA10" s="460" t="str">
        <f>Juli!B22</f>
        <v>on</v>
      </c>
      <c r="AB10" s="503" t="str">
        <f>Juli!C22</f>
        <v>Normal uge 1</v>
      </c>
      <c r="AC10" s="504" t="str">
        <f>Juli!DL22</f>
        <v/>
      </c>
      <c r="AD10" s="337" t="str">
        <f>Juli!D22</f>
        <v/>
      </c>
    </row>
    <row r="11" spans="1:30" ht="23" customHeight="1">
      <c r="A11" s="459">
        <f>Februar!A23</f>
        <v>9</v>
      </c>
      <c r="B11" s="460" t="str">
        <f>Februar!B23</f>
        <v>ma</v>
      </c>
      <c r="C11" s="503" t="str">
        <f>Februar!C23</f>
        <v>Normal uge 1</v>
      </c>
      <c r="D11" s="504" t="str">
        <f>Februar!DL23</f>
        <v/>
      </c>
      <c r="E11" s="339">
        <f>Februar!D23</f>
        <v>6.5714285714285712</v>
      </c>
      <c r="F11" s="459">
        <f>Marts!A23</f>
        <v>9</v>
      </c>
      <c r="G11" s="460" t="str">
        <f>Marts!B23</f>
        <v>ma</v>
      </c>
      <c r="H11" s="503" t="str">
        <f>Marts!C23</f>
        <v>Normal uge 1</v>
      </c>
      <c r="I11" s="504" t="str">
        <f>Marts!DL23</f>
        <v/>
      </c>
      <c r="J11" s="337">
        <f>Marts!D23</f>
        <v>10.571428571428571</v>
      </c>
      <c r="K11" s="459">
        <f>April!A23</f>
        <v>9</v>
      </c>
      <c r="L11" s="460" t="str">
        <f>April!B23</f>
        <v>to</v>
      </c>
      <c r="M11" s="503" t="str">
        <f>April!C23</f>
        <v>Normal uge 1</v>
      </c>
      <c r="N11" s="504" t="str">
        <f>April!DL23</f>
        <v/>
      </c>
      <c r="O11" s="337" t="str">
        <f>April!D23</f>
        <v/>
      </c>
      <c r="P11" s="459">
        <f>Maj!A23</f>
        <v>9</v>
      </c>
      <c r="Q11" s="460" t="str">
        <f>Maj!B23</f>
        <v>lø</v>
      </c>
      <c r="R11" s="503" t="str">
        <f>Maj!C23</f>
        <v>Weekend</v>
      </c>
      <c r="S11" s="504" t="str">
        <f>Maj!DL23</f>
        <v/>
      </c>
      <c r="T11" s="337" t="str">
        <f>Maj!D23</f>
        <v/>
      </c>
      <c r="U11" s="459">
        <f>Juni!A23</f>
        <v>9</v>
      </c>
      <c r="V11" s="460" t="str">
        <f>Juni!B23</f>
        <v>ti</v>
      </c>
      <c r="W11" s="503" t="str">
        <f>Juni!C23</f>
        <v>Normal uge 1</v>
      </c>
      <c r="X11" s="504" t="str">
        <f>Juni!DL23</f>
        <v/>
      </c>
      <c r="Y11" s="337" t="str">
        <f>Juni!D23</f>
        <v/>
      </c>
      <c r="Z11" s="459">
        <f>Juli!A23</f>
        <v>9</v>
      </c>
      <c r="AA11" s="460" t="str">
        <f>Juli!B23</f>
        <v>to</v>
      </c>
      <c r="AB11" s="503" t="str">
        <f>Juli!C23</f>
        <v>Normal uge 1</v>
      </c>
      <c r="AC11" s="504" t="str">
        <f>Juli!DL23</f>
        <v/>
      </c>
      <c r="AD11" s="337" t="str">
        <f>Juli!D23</f>
        <v/>
      </c>
    </row>
    <row r="12" spans="1:30" ht="23" customHeight="1">
      <c r="A12" s="459">
        <f>Februar!A24</f>
        <v>10</v>
      </c>
      <c r="B12" s="460" t="str">
        <f>Februar!B24</f>
        <v>ti</v>
      </c>
      <c r="C12" s="503" t="str">
        <f>Februar!C24</f>
        <v>Normal uge 1</v>
      </c>
      <c r="D12" s="504" t="str">
        <f>Februar!DL24</f>
        <v/>
      </c>
      <c r="E12" s="339" t="str">
        <f>Februar!D24</f>
        <v/>
      </c>
      <c r="F12" s="459">
        <f>Marts!A24</f>
        <v>10</v>
      </c>
      <c r="G12" s="460" t="str">
        <f>Marts!B24</f>
        <v>ti</v>
      </c>
      <c r="H12" s="503" t="str">
        <f>Marts!C24</f>
        <v>Normal uge 1</v>
      </c>
      <c r="I12" s="504" t="str">
        <f>Marts!DL24</f>
        <v/>
      </c>
      <c r="J12" s="337" t="str">
        <f>Marts!D24</f>
        <v/>
      </c>
      <c r="K12" s="459">
        <f>April!A24</f>
        <v>10</v>
      </c>
      <c r="L12" s="460" t="str">
        <f>April!B24</f>
        <v>fr</v>
      </c>
      <c r="M12" s="503" t="str">
        <f>April!C24</f>
        <v>Normal uge 1</v>
      </c>
      <c r="N12" s="504" t="str">
        <f>April!DL24</f>
        <v/>
      </c>
      <c r="O12" s="337" t="str">
        <f>April!D24</f>
        <v/>
      </c>
      <c r="P12" s="459">
        <f>Maj!A24</f>
        <v>10</v>
      </c>
      <c r="Q12" s="460" t="str">
        <f>Maj!B24</f>
        <v>sø</v>
      </c>
      <c r="R12" s="503" t="str">
        <f>Maj!C24</f>
        <v>Weekend</v>
      </c>
      <c r="S12" s="504" t="str">
        <f>Maj!DL24</f>
        <v/>
      </c>
      <c r="T12" s="337" t="str">
        <f>Maj!D24</f>
        <v/>
      </c>
      <c r="U12" s="459">
        <f>Juni!A24</f>
        <v>10</v>
      </c>
      <c r="V12" s="460" t="str">
        <f>Juni!B24</f>
        <v>on</v>
      </c>
      <c r="W12" s="503" t="str">
        <f>Juni!C24</f>
        <v>Normal uge 1</v>
      </c>
      <c r="X12" s="504" t="str">
        <f>Juni!DL24</f>
        <v/>
      </c>
      <c r="Y12" s="337" t="str">
        <f>Juni!D24</f>
        <v/>
      </c>
      <c r="Z12" s="459">
        <f>Juli!A24</f>
        <v>10</v>
      </c>
      <c r="AA12" s="460" t="str">
        <f>Juli!B24</f>
        <v>fr</v>
      </c>
      <c r="AB12" s="503" t="str">
        <f>Juli!C24</f>
        <v>Normal uge 1</v>
      </c>
      <c r="AC12" s="504" t="str">
        <f>Juli!DL24</f>
        <v/>
      </c>
      <c r="AD12" s="337" t="str">
        <f>Juli!D24</f>
        <v/>
      </c>
    </row>
    <row r="13" spans="1:30" ht="23" customHeight="1">
      <c r="A13" s="459">
        <f>Februar!A25</f>
        <v>11</v>
      </c>
      <c r="B13" s="460" t="str">
        <f>Februar!B25</f>
        <v>on</v>
      </c>
      <c r="C13" s="503" t="str">
        <f>Februar!C25</f>
        <v>Normal uge 1</v>
      </c>
      <c r="D13" s="504" t="str">
        <f>Februar!DL25</f>
        <v/>
      </c>
      <c r="E13" s="339" t="str">
        <f>Februar!D25</f>
        <v/>
      </c>
      <c r="F13" s="459">
        <f>Marts!A25</f>
        <v>11</v>
      </c>
      <c r="G13" s="460" t="str">
        <f>Marts!B25</f>
        <v>on</v>
      </c>
      <c r="H13" s="503" t="str">
        <f>Marts!C25</f>
        <v>Normal uge 1</v>
      </c>
      <c r="I13" s="504" t="str">
        <f>Marts!DL25</f>
        <v/>
      </c>
      <c r="J13" s="337" t="str">
        <f>Marts!D25</f>
        <v/>
      </c>
      <c r="K13" s="459">
        <f>April!A25</f>
        <v>11</v>
      </c>
      <c r="L13" s="460" t="str">
        <f>April!B25</f>
        <v>lø</v>
      </c>
      <c r="M13" s="503" t="str">
        <f>April!C25</f>
        <v>Weekend</v>
      </c>
      <c r="N13" s="504" t="str">
        <f>April!DL25</f>
        <v/>
      </c>
      <c r="O13" s="337" t="str">
        <f>April!D25</f>
        <v/>
      </c>
      <c r="P13" s="459">
        <f>Maj!A25</f>
        <v>11</v>
      </c>
      <c r="Q13" s="460" t="str">
        <f>Maj!B25</f>
        <v>ma</v>
      </c>
      <c r="R13" s="503" t="str">
        <f>Maj!C25</f>
        <v>Normal uge 1</v>
      </c>
      <c r="S13" s="504" t="str">
        <f>Maj!DL25</f>
        <v/>
      </c>
      <c r="T13" s="337">
        <f>Maj!D25</f>
        <v>19.571428571428573</v>
      </c>
      <c r="U13" s="459">
        <f>Juni!A25</f>
        <v>11</v>
      </c>
      <c r="V13" s="460" t="str">
        <f>Juni!B25</f>
        <v>to</v>
      </c>
      <c r="W13" s="503" t="str">
        <f>Juni!C25</f>
        <v>Normal uge 1</v>
      </c>
      <c r="X13" s="504" t="str">
        <f>Juni!DL25</f>
        <v/>
      </c>
      <c r="Y13" s="337" t="str">
        <f>Juni!D25</f>
        <v/>
      </c>
      <c r="Z13" s="459">
        <f>Juli!A25</f>
        <v>11</v>
      </c>
      <c r="AA13" s="460" t="str">
        <f>Juli!B25</f>
        <v>lø</v>
      </c>
      <c r="AB13" s="503" t="str">
        <f>Juli!C25</f>
        <v>Weekend</v>
      </c>
      <c r="AC13" s="504" t="str">
        <f>Juli!DL25</f>
        <v/>
      </c>
      <c r="AD13" s="337" t="str">
        <f>Juli!D25</f>
        <v/>
      </c>
    </row>
    <row r="14" spans="1:30" ht="23" customHeight="1">
      <c r="A14" s="459">
        <f>Februar!A26</f>
        <v>12</v>
      </c>
      <c r="B14" s="460" t="str">
        <f>Februar!B26</f>
        <v>to</v>
      </c>
      <c r="C14" s="503" t="str">
        <f>Februar!C26</f>
        <v>Normal uge 1</v>
      </c>
      <c r="D14" s="504" t="str">
        <f>Februar!DL26</f>
        <v/>
      </c>
      <c r="E14" s="339" t="str">
        <f>Februar!D26</f>
        <v/>
      </c>
      <c r="F14" s="459">
        <f>Marts!A26</f>
        <v>12</v>
      </c>
      <c r="G14" s="460" t="str">
        <f>Marts!B26</f>
        <v>to</v>
      </c>
      <c r="H14" s="503" t="str">
        <f>Marts!C26</f>
        <v>Normal uge 1</v>
      </c>
      <c r="I14" s="504" t="str">
        <f>Marts!DL26</f>
        <v/>
      </c>
      <c r="J14" s="337" t="str">
        <f>Marts!D26</f>
        <v/>
      </c>
      <c r="K14" s="459">
        <f>April!A26</f>
        <v>12</v>
      </c>
      <c r="L14" s="460" t="str">
        <f>April!B26</f>
        <v>sø</v>
      </c>
      <c r="M14" s="503" t="str">
        <f>April!C26</f>
        <v>Weekend</v>
      </c>
      <c r="N14" s="504" t="str">
        <f>April!DL26</f>
        <v/>
      </c>
      <c r="O14" s="337" t="str">
        <f>April!D26</f>
        <v/>
      </c>
      <c r="P14" s="459">
        <f>Maj!A26</f>
        <v>12</v>
      </c>
      <c r="Q14" s="460" t="str">
        <f>Maj!B26</f>
        <v>ti</v>
      </c>
      <c r="R14" s="503" t="str">
        <f>Maj!C26</f>
        <v>Normal uge 1</v>
      </c>
      <c r="S14" s="504" t="str">
        <f>Maj!DL26</f>
        <v/>
      </c>
      <c r="T14" s="337" t="str">
        <f>Maj!D26</f>
        <v/>
      </c>
      <c r="U14" s="459">
        <f>Juni!A26</f>
        <v>12</v>
      </c>
      <c r="V14" s="460" t="str">
        <f>Juni!B26</f>
        <v>fr</v>
      </c>
      <c r="W14" s="503" t="str">
        <f>Juni!C26</f>
        <v>Normal uge 1</v>
      </c>
      <c r="X14" s="504" t="str">
        <f>Juni!DL26</f>
        <v/>
      </c>
      <c r="Y14" s="337" t="str">
        <f>Juni!D26</f>
        <v/>
      </c>
      <c r="Z14" s="459">
        <f>Juli!A26</f>
        <v>12</v>
      </c>
      <c r="AA14" s="460" t="str">
        <f>Juli!B26</f>
        <v>sø</v>
      </c>
      <c r="AB14" s="503" t="str">
        <f>Juli!C26</f>
        <v>Weekend</v>
      </c>
      <c r="AC14" s="504" t="str">
        <f>Juli!DL26</f>
        <v/>
      </c>
      <c r="AD14" s="337" t="str">
        <f>Juli!D26</f>
        <v/>
      </c>
    </row>
    <row r="15" spans="1:30" ht="23" customHeight="1">
      <c r="A15" s="459">
        <f>Februar!A27</f>
        <v>13</v>
      </c>
      <c r="B15" s="460" t="str">
        <f>Februar!B27</f>
        <v>fr</v>
      </c>
      <c r="C15" s="503" t="str">
        <f>Februar!C27</f>
        <v>Normal uge 1</v>
      </c>
      <c r="D15" s="504" t="str">
        <f>Februar!DL27</f>
        <v/>
      </c>
      <c r="E15" s="339" t="str">
        <f>Februar!D27</f>
        <v/>
      </c>
      <c r="F15" s="459">
        <f>Marts!A27</f>
        <v>13</v>
      </c>
      <c r="G15" s="460" t="str">
        <f>Marts!B27</f>
        <v>fr</v>
      </c>
      <c r="H15" s="503" t="str">
        <f>Marts!C27</f>
        <v>Normal uge 1</v>
      </c>
      <c r="I15" s="504" t="str">
        <f>Marts!DL27</f>
        <v/>
      </c>
      <c r="J15" s="337" t="str">
        <f>Marts!D27</f>
        <v/>
      </c>
      <c r="K15" s="459">
        <f>April!A27</f>
        <v>13</v>
      </c>
      <c r="L15" s="460" t="str">
        <f>April!B27</f>
        <v>ma</v>
      </c>
      <c r="M15" s="503" t="str">
        <f>April!C27</f>
        <v>Normal uge 1</v>
      </c>
      <c r="N15" s="504" t="str">
        <f>April!DL27</f>
        <v/>
      </c>
      <c r="O15" s="337">
        <f>April!D27</f>
        <v>15.571428571428571</v>
      </c>
      <c r="P15" s="459">
        <f>Maj!A27</f>
        <v>13</v>
      </c>
      <c r="Q15" s="460" t="str">
        <f>Maj!B27</f>
        <v>on</v>
      </c>
      <c r="R15" s="503" t="str">
        <f>Maj!C27</f>
        <v>Normal uge 1</v>
      </c>
      <c r="S15" s="504" t="str">
        <f>Maj!DL27</f>
        <v/>
      </c>
      <c r="T15" s="337" t="str">
        <f>Maj!D27</f>
        <v/>
      </c>
      <c r="U15" s="459">
        <f>Juni!A27</f>
        <v>13</v>
      </c>
      <c r="V15" s="460" t="str">
        <f>Juni!B27</f>
        <v>lø</v>
      </c>
      <c r="W15" s="503" t="str">
        <f>Juni!C27</f>
        <v>Weekend</v>
      </c>
      <c r="X15" s="504" t="str">
        <f>Juni!DL27</f>
        <v/>
      </c>
      <c r="Y15" s="337" t="str">
        <f>Juni!D27</f>
        <v/>
      </c>
      <c r="Z15" s="459">
        <f>Juli!A27</f>
        <v>13</v>
      </c>
      <c r="AA15" s="460" t="str">
        <f>Juli!B27</f>
        <v>ma</v>
      </c>
      <c r="AB15" s="503" t="str">
        <f>Juli!C27</f>
        <v>Normal uge 1</v>
      </c>
      <c r="AC15" s="504" t="str">
        <f>Juli!DL27</f>
        <v/>
      </c>
      <c r="AD15" s="337">
        <f>Juli!D27</f>
        <v>28.571428571428573</v>
      </c>
    </row>
    <row r="16" spans="1:30" ht="23" customHeight="1">
      <c r="A16" s="459">
        <f>Februar!A28</f>
        <v>14</v>
      </c>
      <c r="B16" s="460" t="str">
        <f>Februar!B28</f>
        <v>lø</v>
      </c>
      <c r="C16" s="503" t="str">
        <f>Februar!C28</f>
        <v>Weekend</v>
      </c>
      <c r="D16" s="504" t="str">
        <f>Februar!DL28</f>
        <v/>
      </c>
      <c r="E16" s="339" t="str">
        <f>Februar!D28</f>
        <v/>
      </c>
      <c r="F16" s="459">
        <f>Marts!A28</f>
        <v>14</v>
      </c>
      <c r="G16" s="460" t="str">
        <f>Marts!B28</f>
        <v>lø</v>
      </c>
      <c r="H16" s="503" t="str">
        <f>Marts!C28</f>
        <v>Weekend</v>
      </c>
      <c r="I16" s="504" t="str">
        <f>Marts!DL28</f>
        <v/>
      </c>
      <c r="J16" s="337" t="str">
        <f>Marts!D28</f>
        <v/>
      </c>
      <c r="K16" s="459">
        <f>April!A28</f>
        <v>14</v>
      </c>
      <c r="L16" s="460" t="str">
        <f>April!B28</f>
        <v>ti</v>
      </c>
      <c r="M16" s="503" t="str">
        <f>April!C28</f>
        <v>Normal uge 1</v>
      </c>
      <c r="N16" s="504" t="str">
        <f>April!DL28</f>
        <v/>
      </c>
      <c r="O16" s="337" t="str">
        <f>April!D28</f>
        <v/>
      </c>
      <c r="P16" s="459">
        <f>Maj!A28</f>
        <v>14</v>
      </c>
      <c r="Q16" s="460" t="str">
        <f>Maj!B28</f>
        <v>to</v>
      </c>
      <c r="R16" s="503" t="str">
        <f>Maj!C28</f>
        <v>SH-dag</v>
      </c>
      <c r="S16" s="504" t="str">
        <f>Maj!DL28</f>
        <v>Kristi himmelfatsdag</v>
      </c>
      <c r="T16" s="337" t="str">
        <f>Maj!D28</f>
        <v/>
      </c>
      <c r="U16" s="459">
        <f>Juni!A28</f>
        <v>14</v>
      </c>
      <c r="V16" s="460" t="str">
        <f>Juni!B28</f>
        <v>sø</v>
      </c>
      <c r="W16" s="503" t="str">
        <f>Juni!C28</f>
        <v>Weekend</v>
      </c>
      <c r="X16" s="504" t="str">
        <f>Juni!DL28</f>
        <v/>
      </c>
      <c r="Y16" s="337" t="str">
        <f>Juni!D28</f>
        <v/>
      </c>
      <c r="Z16" s="459">
        <f>Juli!A28</f>
        <v>14</v>
      </c>
      <c r="AA16" s="460" t="str">
        <f>Juli!B28</f>
        <v>ti</v>
      </c>
      <c r="AB16" s="503" t="str">
        <f>Juli!C28</f>
        <v>Normal uge 1</v>
      </c>
      <c r="AC16" s="504" t="str">
        <f>Juli!DL28</f>
        <v/>
      </c>
      <c r="AD16" s="337" t="str">
        <f>Juli!D28</f>
        <v/>
      </c>
    </row>
    <row r="17" spans="1:30" ht="23" customHeight="1">
      <c r="A17" s="459">
        <f>Februar!A29</f>
        <v>15</v>
      </c>
      <c r="B17" s="460" t="str">
        <f>Februar!B29</f>
        <v>sø</v>
      </c>
      <c r="C17" s="503" t="str">
        <f>Februar!C29</f>
        <v>Weekend</v>
      </c>
      <c r="D17" s="504" t="str">
        <f>Februar!DL29</f>
        <v/>
      </c>
      <c r="E17" s="339" t="str">
        <f>Februar!D29</f>
        <v/>
      </c>
      <c r="F17" s="459">
        <f>Marts!A29</f>
        <v>15</v>
      </c>
      <c r="G17" s="460" t="str">
        <f>Marts!B29</f>
        <v>sø</v>
      </c>
      <c r="H17" s="503" t="str">
        <f>Marts!C29</f>
        <v>Weekend</v>
      </c>
      <c r="I17" s="504" t="str">
        <f>Marts!DL29</f>
        <v/>
      </c>
      <c r="J17" s="337" t="str">
        <f>Marts!D29</f>
        <v/>
      </c>
      <c r="K17" s="459">
        <f>April!A29</f>
        <v>15</v>
      </c>
      <c r="L17" s="460" t="str">
        <f>April!B29</f>
        <v>on</v>
      </c>
      <c r="M17" s="503" t="str">
        <f>April!C29</f>
        <v>Normal uge 1</v>
      </c>
      <c r="N17" s="504" t="str">
        <f>April!DL29</f>
        <v/>
      </c>
      <c r="O17" s="337" t="str">
        <f>April!D29</f>
        <v/>
      </c>
      <c r="P17" s="459">
        <f>Maj!A29</f>
        <v>15</v>
      </c>
      <c r="Q17" s="460" t="str">
        <f>Maj!B29</f>
        <v>fr</v>
      </c>
      <c r="R17" s="503" t="str">
        <f>Maj!C29</f>
        <v>Normal uge 1</v>
      </c>
      <c r="S17" s="504" t="str">
        <f>Maj!DL29</f>
        <v/>
      </c>
      <c r="T17" s="337" t="str">
        <f>Maj!D29</f>
        <v/>
      </c>
      <c r="U17" s="459">
        <f>Juni!A29</f>
        <v>15</v>
      </c>
      <c r="V17" s="460" t="str">
        <f>Juni!B29</f>
        <v>ma</v>
      </c>
      <c r="W17" s="503" t="str">
        <f>Juni!C29</f>
        <v>Normal uge 1</v>
      </c>
      <c r="X17" s="504" t="str">
        <f>Juni!DL29</f>
        <v/>
      </c>
      <c r="Y17" s="337">
        <f>Juni!D29</f>
        <v>24.571428571428573</v>
      </c>
      <c r="Z17" s="459">
        <f>Juli!A29</f>
        <v>15</v>
      </c>
      <c r="AA17" s="460" t="str">
        <f>Juli!B29</f>
        <v>on</v>
      </c>
      <c r="AB17" s="503" t="str">
        <f>Juli!C29</f>
        <v>Normal uge 1</v>
      </c>
      <c r="AC17" s="504" t="str">
        <f>Juli!DL29</f>
        <v/>
      </c>
      <c r="AD17" s="337" t="str">
        <f>Juli!D29</f>
        <v/>
      </c>
    </row>
    <row r="18" spans="1:30" ht="23" customHeight="1">
      <c r="A18" s="459">
        <f>Februar!A30</f>
        <v>16</v>
      </c>
      <c r="B18" s="460" t="str">
        <f>Februar!B30</f>
        <v>ma</v>
      </c>
      <c r="C18" s="503" t="str">
        <f>Februar!C30</f>
        <v>Normal uge 1</v>
      </c>
      <c r="D18" s="504" t="str">
        <f>Februar!DL30</f>
        <v/>
      </c>
      <c r="E18" s="339">
        <f>Februar!D30</f>
        <v>7.5714285714285712</v>
      </c>
      <c r="F18" s="459">
        <f>Marts!A30</f>
        <v>16</v>
      </c>
      <c r="G18" s="460" t="str">
        <f>Marts!B30</f>
        <v>ma</v>
      </c>
      <c r="H18" s="503" t="str">
        <f>Marts!C30</f>
        <v>Normal uge 1</v>
      </c>
      <c r="I18" s="504" t="str">
        <f>Marts!DL30</f>
        <v/>
      </c>
      <c r="J18" s="337">
        <f>Marts!D30</f>
        <v>11.571428571428571</v>
      </c>
      <c r="K18" s="459">
        <f>April!A30</f>
        <v>16</v>
      </c>
      <c r="L18" s="460" t="str">
        <f>April!B30</f>
        <v>to</v>
      </c>
      <c r="M18" s="503" t="str">
        <f>April!C30</f>
        <v>Normal uge 1</v>
      </c>
      <c r="N18" s="504" t="str">
        <f>April!DL30</f>
        <v/>
      </c>
      <c r="O18" s="337" t="str">
        <f>April!D30</f>
        <v/>
      </c>
      <c r="P18" s="459">
        <f>Maj!A30</f>
        <v>16</v>
      </c>
      <c r="Q18" s="460" t="str">
        <f>Maj!B30</f>
        <v>lø</v>
      </c>
      <c r="R18" s="503" t="str">
        <f>Maj!C30</f>
        <v>Weekend</v>
      </c>
      <c r="S18" s="504" t="str">
        <f>Maj!DL30</f>
        <v/>
      </c>
      <c r="T18" s="337" t="str">
        <f>Maj!D30</f>
        <v/>
      </c>
      <c r="U18" s="459">
        <f>Juni!A30</f>
        <v>16</v>
      </c>
      <c r="V18" s="460" t="str">
        <f>Juni!B30</f>
        <v>ti</v>
      </c>
      <c r="W18" s="503" t="str">
        <f>Juni!C30</f>
        <v>Normal uge 1</v>
      </c>
      <c r="X18" s="504" t="str">
        <f>Juni!DL30</f>
        <v/>
      </c>
      <c r="Y18" s="337" t="str">
        <f>Juni!D30</f>
        <v/>
      </c>
      <c r="Z18" s="459">
        <f>Juli!A30</f>
        <v>16</v>
      </c>
      <c r="AA18" s="460" t="str">
        <f>Juli!B30</f>
        <v>to</v>
      </c>
      <c r="AB18" s="503" t="str">
        <f>Juli!C30</f>
        <v>Normal uge 1</v>
      </c>
      <c r="AC18" s="504" t="str">
        <f>Juli!DL30</f>
        <v/>
      </c>
      <c r="AD18" s="337" t="str">
        <f>Juli!D30</f>
        <v/>
      </c>
    </row>
    <row r="19" spans="1:30" ht="23" customHeight="1">
      <c r="A19" s="459">
        <f>Februar!A31</f>
        <v>17</v>
      </c>
      <c r="B19" s="460" t="str">
        <f>Februar!B31</f>
        <v>ti</v>
      </c>
      <c r="C19" s="503" t="str">
        <f>Februar!C31</f>
        <v>Normal uge 1</v>
      </c>
      <c r="D19" s="504" t="str">
        <f>Februar!DL31</f>
        <v/>
      </c>
      <c r="E19" s="339" t="str">
        <f>Februar!D31</f>
        <v/>
      </c>
      <c r="F19" s="459">
        <f>Marts!A31</f>
        <v>17</v>
      </c>
      <c r="G19" s="460" t="str">
        <f>Marts!B31</f>
        <v>ti</v>
      </c>
      <c r="H19" s="503" t="str">
        <f>Marts!C31</f>
        <v>Normal uge 1</v>
      </c>
      <c r="I19" s="504" t="str">
        <f>Marts!DL31</f>
        <v/>
      </c>
      <c r="J19" s="337" t="str">
        <f>Marts!D31</f>
        <v/>
      </c>
      <c r="K19" s="459">
        <f>April!A31</f>
        <v>17</v>
      </c>
      <c r="L19" s="460" t="str">
        <f>April!B31</f>
        <v>fr</v>
      </c>
      <c r="M19" s="503" t="str">
        <f>April!C31</f>
        <v>Normal uge 1</v>
      </c>
      <c r="N19" s="504" t="str">
        <f>April!DL31</f>
        <v/>
      </c>
      <c r="O19" s="337" t="str">
        <f>April!D31</f>
        <v/>
      </c>
      <c r="P19" s="459">
        <f>Maj!A31</f>
        <v>17</v>
      </c>
      <c r="Q19" s="460" t="str">
        <f>Maj!B31</f>
        <v>sø</v>
      </c>
      <c r="R19" s="503" t="str">
        <f>Maj!C31</f>
        <v>Weekend</v>
      </c>
      <c r="S19" s="504" t="str">
        <f>Maj!DL31</f>
        <v/>
      </c>
      <c r="T19" s="337" t="str">
        <f>Maj!D31</f>
        <v/>
      </c>
      <c r="U19" s="459">
        <f>Juni!A31</f>
        <v>17</v>
      </c>
      <c r="V19" s="460" t="str">
        <f>Juni!B31</f>
        <v>on</v>
      </c>
      <c r="W19" s="503" t="str">
        <f>Juni!C31</f>
        <v>Normal uge 1</v>
      </c>
      <c r="X19" s="504" t="str">
        <f>Juni!DL31</f>
        <v/>
      </c>
      <c r="Y19" s="337" t="str">
        <f>Juni!D31</f>
        <v/>
      </c>
      <c r="Z19" s="459">
        <f>Juli!A31</f>
        <v>17</v>
      </c>
      <c r="AA19" s="460" t="str">
        <f>Juli!B31</f>
        <v>fr</v>
      </c>
      <c r="AB19" s="503" t="str">
        <f>Juli!C31</f>
        <v>Normal uge 1</v>
      </c>
      <c r="AC19" s="504" t="str">
        <f>Juli!DL31</f>
        <v/>
      </c>
      <c r="AD19" s="337" t="str">
        <f>Juli!D31</f>
        <v/>
      </c>
    </row>
    <row r="20" spans="1:30" ht="23" customHeight="1">
      <c r="A20" s="459">
        <f>Februar!A32</f>
        <v>18</v>
      </c>
      <c r="B20" s="460" t="str">
        <f>Februar!B32</f>
        <v>on</v>
      </c>
      <c r="C20" s="503" t="str">
        <f>Februar!C32</f>
        <v>Normal uge 1</v>
      </c>
      <c r="D20" s="504" t="str">
        <f>Februar!DL32</f>
        <v/>
      </c>
      <c r="E20" s="339" t="str">
        <f>Februar!D32</f>
        <v/>
      </c>
      <c r="F20" s="459">
        <f>Marts!A32</f>
        <v>18</v>
      </c>
      <c r="G20" s="460" t="str">
        <f>Marts!B32</f>
        <v>on</v>
      </c>
      <c r="H20" s="503" t="str">
        <f>Marts!C32</f>
        <v>Normal uge 1</v>
      </c>
      <c r="I20" s="504" t="str">
        <f>Marts!DL32</f>
        <v/>
      </c>
      <c r="J20" s="337" t="str">
        <f>Marts!D32</f>
        <v/>
      </c>
      <c r="K20" s="459">
        <f>April!A32</f>
        <v>18</v>
      </c>
      <c r="L20" s="460" t="str">
        <f>April!B32</f>
        <v>lø</v>
      </c>
      <c r="M20" s="503" t="str">
        <f>April!C32</f>
        <v>Weekend</v>
      </c>
      <c r="N20" s="504" t="str">
        <f>April!DL32</f>
        <v/>
      </c>
      <c r="O20" s="337" t="str">
        <f>April!D32</f>
        <v/>
      </c>
      <c r="P20" s="459">
        <f>Maj!A32</f>
        <v>18</v>
      </c>
      <c r="Q20" s="460" t="str">
        <f>Maj!B32</f>
        <v>ma</v>
      </c>
      <c r="R20" s="503" t="str">
        <f>Maj!C32</f>
        <v>Normal uge 1</v>
      </c>
      <c r="S20" s="504" t="str">
        <f>Maj!DL32</f>
        <v/>
      </c>
      <c r="T20" s="337">
        <f>Maj!D32</f>
        <v>20.571428571428573</v>
      </c>
      <c r="U20" s="459">
        <f>Juni!A32</f>
        <v>18</v>
      </c>
      <c r="V20" s="460" t="str">
        <f>Juni!B32</f>
        <v>to</v>
      </c>
      <c r="W20" s="503" t="str">
        <f>Juni!C32</f>
        <v>Normal uge 1</v>
      </c>
      <c r="X20" s="504" t="str">
        <f>Juni!DL32</f>
        <v/>
      </c>
      <c r="Y20" s="337" t="str">
        <f>Juni!D32</f>
        <v/>
      </c>
      <c r="Z20" s="459">
        <f>Juli!A32</f>
        <v>18</v>
      </c>
      <c r="AA20" s="460" t="str">
        <f>Juli!B32</f>
        <v>lø</v>
      </c>
      <c r="AB20" s="503" t="str">
        <f>Juli!C32</f>
        <v>Weekend</v>
      </c>
      <c r="AC20" s="504" t="str">
        <f>Juli!DL32</f>
        <v/>
      </c>
      <c r="AD20" s="337" t="str">
        <f>Juli!D32</f>
        <v/>
      </c>
    </row>
    <row r="21" spans="1:30" ht="23" customHeight="1">
      <c r="A21" s="459">
        <f>Februar!A33</f>
        <v>19</v>
      </c>
      <c r="B21" s="460" t="str">
        <f>Februar!B33</f>
        <v>to</v>
      </c>
      <c r="C21" s="503" t="str">
        <f>Februar!C33</f>
        <v>Normal uge 1</v>
      </c>
      <c r="D21" s="504" t="str">
        <f>Februar!DL33</f>
        <v/>
      </c>
      <c r="E21" s="339" t="str">
        <f>Februar!D33</f>
        <v/>
      </c>
      <c r="F21" s="459">
        <f>Marts!A33</f>
        <v>19</v>
      </c>
      <c r="G21" s="460" t="str">
        <f>Marts!B33</f>
        <v>to</v>
      </c>
      <c r="H21" s="503" t="str">
        <f>Marts!C33</f>
        <v>Normal uge 1</v>
      </c>
      <c r="I21" s="504" t="str">
        <f>Marts!DL33</f>
        <v/>
      </c>
      <c r="J21" s="337" t="str">
        <f>Marts!D33</f>
        <v/>
      </c>
      <c r="K21" s="459">
        <f>April!A33</f>
        <v>19</v>
      </c>
      <c r="L21" s="460" t="str">
        <f>April!B33</f>
        <v>sø</v>
      </c>
      <c r="M21" s="503" t="str">
        <f>April!C33</f>
        <v>Weekend</v>
      </c>
      <c r="N21" s="504" t="str">
        <f>April!DL33</f>
        <v/>
      </c>
      <c r="O21" s="337" t="str">
        <f>April!D33</f>
        <v/>
      </c>
      <c r="P21" s="459">
        <f>Maj!A33</f>
        <v>19</v>
      </c>
      <c r="Q21" s="460" t="str">
        <f>Maj!B33</f>
        <v>ti</v>
      </c>
      <c r="R21" s="503" t="str">
        <f>Maj!C33</f>
        <v>Normal uge 1</v>
      </c>
      <c r="S21" s="504" t="str">
        <f>Maj!DL33</f>
        <v/>
      </c>
      <c r="T21" s="337" t="str">
        <f>Maj!D33</f>
        <v/>
      </c>
      <c r="U21" s="459">
        <f>Juni!A33</f>
        <v>19</v>
      </c>
      <c r="V21" s="460" t="str">
        <f>Juni!B33</f>
        <v>fr</v>
      </c>
      <c r="W21" s="503" t="str">
        <f>Juni!C33</f>
        <v>Normal uge 1</v>
      </c>
      <c r="X21" s="504" t="str">
        <f>Juni!DL33</f>
        <v/>
      </c>
      <c r="Y21" s="337" t="str">
        <f>Juni!D33</f>
        <v/>
      </c>
      <c r="Z21" s="459">
        <f>Juli!A33</f>
        <v>19</v>
      </c>
      <c r="AA21" s="460" t="str">
        <f>Juli!B33</f>
        <v>sø</v>
      </c>
      <c r="AB21" s="503" t="str">
        <f>Juli!C33</f>
        <v>Weekend</v>
      </c>
      <c r="AC21" s="504" t="str">
        <f>Juli!DL33</f>
        <v/>
      </c>
      <c r="AD21" s="337" t="str">
        <f>Juli!D33</f>
        <v/>
      </c>
    </row>
    <row r="22" spans="1:30" ht="23" customHeight="1">
      <c r="A22" s="459">
        <f>Februar!A34</f>
        <v>20</v>
      </c>
      <c r="B22" s="460" t="str">
        <f>Februar!B34</f>
        <v>fr</v>
      </c>
      <c r="C22" s="503" t="str">
        <f>Februar!C34</f>
        <v>Normal uge 1</v>
      </c>
      <c r="D22" s="504" t="str">
        <f>Februar!DL34</f>
        <v/>
      </c>
      <c r="E22" s="339" t="str">
        <f>Februar!D34</f>
        <v/>
      </c>
      <c r="F22" s="459">
        <f>Marts!A34</f>
        <v>20</v>
      </c>
      <c r="G22" s="460" t="str">
        <f>Marts!B34</f>
        <v>fr</v>
      </c>
      <c r="H22" s="503" t="str">
        <f>Marts!C34</f>
        <v>Normal uge 1</v>
      </c>
      <c r="I22" s="504" t="str">
        <f>Marts!DL34</f>
        <v/>
      </c>
      <c r="J22" s="337" t="str">
        <f>Marts!D34</f>
        <v/>
      </c>
      <c r="K22" s="459">
        <f>April!A34</f>
        <v>20</v>
      </c>
      <c r="L22" s="460" t="str">
        <f>April!B34</f>
        <v>ma</v>
      </c>
      <c r="M22" s="503" t="str">
        <f>April!C34</f>
        <v>Normal uge 1</v>
      </c>
      <c r="N22" s="504" t="str">
        <f>April!DL34</f>
        <v/>
      </c>
      <c r="O22" s="337">
        <f>April!D34</f>
        <v>16.571428571428573</v>
      </c>
      <c r="P22" s="459">
        <f>Maj!A34</f>
        <v>20</v>
      </c>
      <c r="Q22" s="460" t="str">
        <f>Maj!B34</f>
        <v>on</v>
      </c>
      <c r="R22" s="503" t="str">
        <f>Maj!C34</f>
        <v>Normal uge 1</v>
      </c>
      <c r="S22" s="504" t="str">
        <f>Maj!DL34</f>
        <v/>
      </c>
      <c r="T22" s="337" t="str">
        <f>Maj!D34</f>
        <v/>
      </c>
      <c r="U22" s="459">
        <f>Juni!A34</f>
        <v>20</v>
      </c>
      <c r="V22" s="460" t="str">
        <f>Juni!B34</f>
        <v>lø</v>
      </c>
      <c r="W22" s="503" t="str">
        <f>Juni!C34</f>
        <v>Weekend</v>
      </c>
      <c r="X22" s="504" t="str">
        <f>Juni!DL34</f>
        <v/>
      </c>
      <c r="Y22" s="337" t="str">
        <f>Juni!D34</f>
        <v/>
      </c>
      <c r="Z22" s="459">
        <f>Juli!A34</f>
        <v>20</v>
      </c>
      <c r="AA22" s="460" t="str">
        <f>Juli!B34</f>
        <v>ma</v>
      </c>
      <c r="AB22" s="503" t="str">
        <f>Juli!C34</f>
        <v>Normal uge 1</v>
      </c>
      <c r="AC22" s="504" t="str">
        <f>Juli!DL34</f>
        <v/>
      </c>
      <c r="AD22" s="337">
        <f>Juli!D34</f>
        <v>29.571428571428573</v>
      </c>
    </row>
    <row r="23" spans="1:30" ht="23" customHeight="1">
      <c r="A23" s="459">
        <f>Februar!A35</f>
        <v>21</v>
      </c>
      <c r="B23" s="460" t="str">
        <f>Februar!B35</f>
        <v>lø</v>
      </c>
      <c r="C23" s="503" t="str">
        <f>Februar!C35</f>
        <v>Weekend</v>
      </c>
      <c r="D23" s="504" t="str">
        <f>Februar!DL35</f>
        <v/>
      </c>
      <c r="E23" s="339" t="str">
        <f>Februar!D35</f>
        <v/>
      </c>
      <c r="F23" s="459">
        <f>Marts!A35</f>
        <v>21</v>
      </c>
      <c r="G23" s="460" t="str">
        <f>Marts!B35</f>
        <v>lø</v>
      </c>
      <c r="H23" s="503" t="str">
        <f>Marts!C35</f>
        <v>Weekend</v>
      </c>
      <c r="I23" s="504" t="str">
        <f>Marts!DL35</f>
        <v/>
      </c>
      <c r="J23" s="337" t="str">
        <f>Marts!D35</f>
        <v/>
      </c>
      <c r="K23" s="459">
        <f>April!A35</f>
        <v>21</v>
      </c>
      <c r="L23" s="460" t="str">
        <f>April!B35</f>
        <v>ti</v>
      </c>
      <c r="M23" s="503" t="str">
        <f>April!C35</f>
        <v>Normal uge 1</v>
      </c>
      <c r="N23" s="504" t="str">
        <f>April!DL35</f>
        <v/>
      </c>
      <c r="O23" s="337" t="str">
        <f>April!D35</f>
        <v/>
      </c>
      <c r="P23" s="459">
        <f>Maj!A35</f>
        <v>21</v>
      </c>
      <c r="Q23" s="460" t="str">
        <f>Maj!B35</f>
        <v>to</v>
      </c>
      <c r="R23" s="503" t="str">
        <f>Maj!C35</f>
        <v>Normal uge 1</v>
      </c>
      <c r="S23" s="504" t="str">
        <f>Maj!DL35</f>
        <v/>
      </c>
      <c r="T23" s="337" t="str">
        <f>Maj!D35</f>
        <v/>
      </c>
      <c r="U23" s="459">
        <f>Juni!A35</f>
        <v>21</v>
      </c>
      <c r="V23" s="460" t="str">
        <f>Juni!B35</f>
        <v>sø</v>
      </c>
      <c r="W23" s="503" t="str">
        <f>Juni!C35</f>
        <v>Weekend</v>
      </c>
      <c r="X23" s="504" t="str">
        <f>Juni!DL35</f>
        <v/>
      </c>
      <c r="Y23" s="337" t="str">
        <f>Juni!D35</f>
        <v/>
      </c>
      <c r="Z23" s="459">
        <f>Juli!A35</f>
        <v>21</v>
      </c>
      <c r="AA23" s="460" t="str">
        <f>Juli!B35</f>
        <v>ti</v>
      </c>
      <c r="AB23" s="503" t="str">
        <f>Juli!C35</f>
        <v>Normal uge 1</v>
      </c>
      <c r="AC23" s="504" t="str">
        <f>Juli!DL35</f>
        <v/>
      </c>
      <c r="AD23" s="337" t="str">
        <f>Juli!D35</f>
        <v/>
      </c>
    </row>
    <row r="24" spans="1:30" ht="23" customHeight="1">
      <c r="A24" s="459">
        <f>Februar!A36</f>
        <v>22</v>
      </c>
      <c r="B24" s="460" t="str">
        <f>Februar!B36</f>
        <v>sø</v>
      </c>
      <c r="C24" s="503" t="str">
        <f>Februar!C36</f>
        <v>Weekend</v>
      </c>
      <c r="D24" s="504" t="str">
        <f>Februar!DL36</f>
        <v/>
      </c>
      <c r="E24" s="339" t="str">
        <f>Februar!D36</f>
        <v/>
      </c>
      <c r="F24" s="459">
        <f>Marts!A36</f>
        <v>22</v>
      </c>
      <c r="G24" s="460" t="str">
        <f>Marts!B36</f>
        <v>sø</v>
      </c>
      <c r="H24" s="503" t="str">
        <f>Marts!C36</f>
        <v>Weekend</v>
      </c>
      <c r="I24" s="504" t="str">
        <f>Marts!DL36</f>
        <v/>
      </c>
      <c r="J24" s="337" t="str">
        <f>Marts!D36</f>
        <v/>
      </c>
      <c r="K24" s="459">
        <f>April!A36</f>
        <v>22</v>
      </c>
      <c r="L24" s="460" t="str">
        <f>April!B36</f>
        <v>on</v>
      </c>
      <c r="M24" s="503" t="str">
        <f>April!C36</f>
        <v>Normal uge 1</v>
      </c>
      <c r="N24" s="504" t="str">
        <f>April!DL36</f>
        <v/>
      </c>
      <c r="O24" s="337" t="str">
        <f>April!D36</f>
        <v/>
      </c>
      <c r="P24" s="459">
        <f>Maj!A36</f>
        <v>22</v>
      </c>
      <c r="Q24" s="460" t="str">
        <f>Maj!B36</f>
        <v>fr</v>
      </c>
      <c r="R24" s="503" t="str">
        <f>Maj!C36</f>
        <v>Normal uge 1</v>
      </c>
      <c r="S24" s="504" t="str">
        <f>Maj!DL36</f>
        <v/>
      </c>
      <c r="T24" s="337" t="str">
        <f>Maj!D36</f>
        <v/>
      </c>
      <c r="U24" s="459">
        <f>Juni!A36</f>
        <v>22</v>
      </c>
      <c r="V24" s="460" t="str">
        <f>Juni!B36</f>
        <v>ma</v>
      </c>
      <c r="W24" s="503" t="str">
        <f>Juni!C36</f>
        <v>Normal uge 1</v>
      </c>
      <c r="X24" s="504" t="str">
        <f>Juni!DL36</f>
        <v/>
      </c>
      <c r="Y24" s="337">
        <f>Juni!D36</f>
        <v>25.571428571428573</v>
      </c>
      <c r="Z24" s="459">
        <f>Juli!A36</f>
        <v>22</v>
      </c>
      <c r="AA24" s="460" t="str">
        <f>Juli!B36</f>
        <v>on</v>
      </c>
      <c r="AB24" s="503" t="str">
        <f>Juli!C36</f>
        <v>Normal uge 1</v>
      </c>
      <c r="AC24" s="504" t="str">
        <f>Juli!DL36</f>
        <v/>
      </c>
      <c r="AD24" s="337" t="str">
        <f>Juli!D36</f>
        <v/>
      </c>
    </row>
    <row r="25" spans="1:30" ht="23" customHeight="1">
      <c r="A25" s="459">
        <f>Februar!A37</f>
        <v>23</v>
      </c>
      <c r="B25" s="460" t="str">
        <f>Februar!B37</f>
        <v>ma</v>
      </c>
      <c r="C25" s="503" t="str">
        <f>Februar!C37</f>
        <v>Normal uge 1</v>
      </c>
      <c r="D25" s="504" t="str">
        <f>Februar!DL37</f>
        <v/>
      </c>
      <c r="E25" s="339">
        <f>Februar!D37</f>
        <v>8.5714285714285712</v>
      </c>
      <c r="F25" s="459">
        <f>Marts!A37</f>
        <v>23</v>
      </c>
      <c r="G25" s="460" t="str">
        <f>Marts!B37</f>
        <v>ma</v>
      </c>
      <c r="H25" s="503" t="str">
        <f>Marts!C37</f>
        <v>Normal uge 1</v>
      </c>
      <c r="I25" s="504" t="str">
        <f>Marts!DL37</f>
        <v/>
      </c>
      <c r="J25" s="337">
        <f>Marts!D37</f>
        <v>12.571428571428571</v>
      </c>
      <c r="K25" s="459">
        <f>April!A37</f>
        <v>23</v>
      </c>
      <c r="L25" s="460" t="str">
        <f>April!B37</f>
        <v>to</v>
      </c>
      <c r="M25" s="503" t="str">
        <f>April!C37</f>
        <v>Normal uge 1</v>
      </c>
      <c r="N25" s="504" t="str">
        <f>April!DL37</f>
        <v/>
      </c>
      <c r="O25" s="337" t="str">
        <f>April!D37</f>
        <v/>
      </c>
      <c r="P25" s="459">
        <f>Maj!A37</f>
        <v>23</v>
      </c>
      <c r="Q25" s="460" t="str">
        <f>Maj!B37</f>
        <v>lø</v>
      </c>
      <c r="R25" s="503" t="str">
        <f>Maj!C37</f>
        <v>Weekend</v>
      </c>
      <c r="S25" s="504" t="str">
        <f>Maj!DL37</f>
        <v/>
      </c>
      <c r="T25" s="337" t="str">
        <f>Maj!D37</f>
        <v/>
      </c>
      <c r="U25" s="459">
        <f>Juni!A37</f>
        <v>23</v>
      </c>
      <c r="V25" s="460" t="str">
        <f>Juni!B37</f>
        <v>ti</v>
      </c>
      <c r="W25" s="503" t="str">
        <f>Juni!C37</f>
        <v>Normal uge 1</v>
      </c>
      <c r="X25" s="504" t="str">
        <f>Juni!DL37</f>
        <v/>
      </c>
      <c r="Y25" s="337" t="str">
        <f>Juni!D37</f>
        <v/>
      </c>
      <c r="Z25" s="459">
        <f>Juli!A37</f>
        <v>23</v>
      </c>
      <c r="AA25" s="460" t="str">
        <f>Juli!B37</f>
        <v>to</v>
      </c>
      <c r="AB25" s="503" t="str">
        <f>Juli!C37</f>
        <v>Normal uge 1</v>
      </c>
      <c r="AC25" s="504" t="str">
        <f>Juli!DL37</f>
        <v/>
      </c>
      <c r="AD25" s="337" t="str">
        <f>Juli!D37</f>
        <v/>
      </c>
    </row>
    <row r="26" spans="1:30" ht="23" customHeight="1">
      <c r="A26" s="459">
        <f>Februar!A38</f>
        <v>24</v>
      </c>
      <c r="B26" s="460" t="str">
        <f>Februar!B38</f>
        <v>ti</v>
      </c>
      <c r="C26" s="503" t="str">
        <f>Februar!C38</f>
        <v>Normal uge 1</v>
      </c>
      <c r="D26" s="504" t="str">
        <f>Februar!DL38</f>
        <v/>
      </c>
      <c r="E26" s="339" t="str">
        <f>Februar!D38</f>
        <v/>
      </c>
      <c r="F26" s="459">
        <f>Marts!A38</f>
        <v>24</v>
      </c>
      <c r="G26" s="460" t="str">
        <f>Marts!B38</f>
        <v>ti</v>
      </c>
      <c r="H26" s="503" t="str">
        <f>Marts!C38</f>
        <v>Normal uge 1</v>
      </c>
      <c r="I26" s="504" t="str">
        <f>Marts!DL38</f>
        <v/>
      </c>
      <c r="J26" s="337" t="str">
        <f>Marts!D38</f>
        <v/>
      </c>
      <c r="K26" s="459">
        <f>April!A38</f>
        <v>24</v>
      </c>
      <c r="L26" s="460" t="str">
        <f>April!B38</f>
        <v>fr</v>
      </c>
      <c r="M26" s="503" t="str">
        <f>April!C38</f>
        <v>Normal uge 1</v>
      </c>
      <c r="N26" s="504" t="str">
        <f>April!DL38</f>
        <v/>
      </c>
      <c r="O26" s="337" t="str">
        <f>April!D38</f>
        <v/>
      </c>
      <c r="P26" s="459">
        <f>Maj!A38</f>
        <v>24</v>
      </c>
      <c r="Q26" s="460" t="str">
        <f>Maj!B38</f>
        <v>sø</v>
      </c>
      <c r="R26" s="503" t="str">
        <f>Maj!C38</f>
        <v>Weekend</v>
      </c>
      <c r="S26" s="504" t="str">
        <f>Maj!DL38</f>
        <v>Pinsedag</v>
      </c>
      <c r="T26" s="337" t="str">
        <f>Maj!D38</f>
        <v/>
      </c>
      <c r="U26" s="459">
        <f>Juni!A38</f>
        <v>24</v>
      </c>
      <c r="V26" s="460" t="str">
        <f>Juni!B38</f>
        <v>on</v>
      </c>
      <c r="W26" s="503" t="str">
        <f>Juni!C38</f>
        <v>Normal uge 1</v>
      </c>
      <c r="X26" s="504" t="str">
        <f>Juni!DL38</f>
        <v/>
      </c>
      <c r="Y26" s="337" t="str">
        <f>Juni!D38</f>
        <v/>
      </c>
      <c r="Z26" s="459">
        <f>Juli!A38</f>
        <v>24</v>
      </c>
      <c r="AA26" s="460" t="str">
        <f>Juli!B38</f>
        <v>fr</v>
      </c>
      <c r="AB26" s="503" t="str">
        <f>Juli!C38</f>
        <v>Normal uge 1</v>
      </c>
      <c r="AC26" s="504" t="str">
        <f>Juli!DL38</f>
        <v/>
      </c>
      <c r="AD26" s="337" t="str">
        <f>Juli!D38</f>
        <v/>
      </c>
    </row>
    <row r="27" spans="1:30" ht="23" customHeight="1">
      <c r="A27" s="459">
        <f>Februar!A39</f>
        <v>25</v>
      </c>
      <c r="B27" s="460" t="str">
        <f>Februar!B39</f>
        <v>on</v>
      </c>
      <c r="C27" s="503" t="str">
        <f>Februar!C39</f>
        <v>Normal uge 1</v>
      </c>
      <c r="D27" s="504" t="str">
        <f>Februar!DL39</f>
        <v/>
      </c>
      <c r="E27" s="339" t="str">
        <f>Februar!D39</f>
        <v/>
      </c>
      <c r="F27" s="459">
        <f>Marts!A39</f>
        <v>25</v>
      </c>
      <c r="G27" s="460" t="str">
        <f>Marts!B39</f>
        <v>on</v>
      </c>
      <c r="H27" s="503" t="str">
        <f>Marts!C39</f>
        <v>Normal uge 1</v>
      </c>
      <c r="I27" s="504" t="str">
        <f>Marts!DL39</f>
        <v/>
      </c>
      <c r="J27" s="337" t="str">
        <f>Marts!D39</f>
        <v/>
      </c>
      <c r="K27" s="459">
        <f>April!A39</f>
        <v>25</v>
      </c>
      <c r="L27" s="460" t="str">
        <f>April!B39</f>
        <v>lø</v>
      </c>
      <c r="M27" s="503" t="str">
        <f>April!C39</f>
        <v>Weekend</v>
      </c>
      <c r="N27" s="504" t="str">
        <f>April!DL39</f>
        <v/>
      </c>
      <c r="O27" s="337" t="str">
        <f>April!D39</f>
        <v/>
      </c>
      <c r="P27" s="459">
        <f>Maj!A39</f>
        <v>25</v>
      </c>
      <c r="Q27" s="460" t="str">
        <f>Maj!B39</f>
        <v>ma</v>
      </c>
      <c r="R27" s="503" t="str">
        <f>Maj!C39</f>
        <v>SH-dag</v>
      </c>
      <c r="S27" s="504" t="str">
        <f>Maj!DL39</f>
        <v>2. Pinsedag</v>
      </c>
      <c r="T27" s="337">
        <f>Maj!D39</f>
        <v>21.571428571428573</v>
      </c>
      <c r="U27" s="459">
        <f>Juni!A39</f>
        <v>25</v>
      </c>
      <c r="V27" s="460" t="str">
        <f>Juni!B39</f>
        <v>to</v>
      </c>
      <c r="W27" s="503" t="str">
        <f>Juni!C39</f>
        <v>Normal uge 1</v>
      </c>
      <c r="X27" s="504" t="str">
        <f>Juni!DL39</f>
        <v/>
      </c>
      <c r="Y27" s="337" t="str">
        <f>Juni!D39</f>
        <v/>
      </c>
      <c r="Z27" s="459">
        <f>Juli!A39</f>
        <v>25</v>
      </c>
      <c r="AA27" s="460" t="str">
        <f>Juli!B39</f>
        <v>lø</v>
      </c>
      <c r="AB27" s="503" t="str">
        <f>Juli!C39</f>
        <v>Weekend</v>
      </c>
      <c r="AC27" s="504" t="str">
        <f>Juli!DL39</f>
        <v/>
      </c>
      <c r="AD27" s="337" t="str">
        <f>Juli!D39</f>
        <v/>
      </c>
    </row>
    <row r="28" spans="1:30" ht="23" customHeight="1">
      <c r="A28" s="459">
        <f>Februar!A40</f>
        <v>26</v>
      </c>
      <c r="B28" s="460" t="str">
        <f>Februar!B40</f>
        <v>to</v>
      </c>
      <c r="C28" s="503" t="str">
        <f>Februar!C40</f>
        <v>Normal uge 1</v>
      </c>
      <c r="D28" s="504" t="str">
        <f>Februar!DL40</f>
        <v/>
      </c>
      <c r="E28" s="339" t="str">
        <f>Februar!D40</f>
        <v/>
      </c>
      <c r="F28" s="459">
        <f>Marts!A40</f>
        <v>26</v>
      </c>
      <c r="G28" s="460" t="str">
        <f>Marts!B40</f>
        <v>to</v>
      </c>
      <c r="H28" s="503" t="str">
        <f>Marts!C40</f>
        <v>Normal uge 1</v>
      </c>
      <c r="I28" s="504" t="str">
        <f>Marts!DL40</f>
        <v/>
      </c>
      <c r="J28" s="337" t="str">
        <f>Marts!D40</f>
        <v/>
      </c>
      <c r="K28" s="459">
        <f>April!A40</f>
        <v>26</v>
      </c>
      <c r="L28" s="460" t="str">
        <f>April!B40</f>
        <v>sø</v>
      </c>
      <c r="M28" s="503" t="str">
        <f>April!C40</f>
        <v>Weekend</v>
      </c>
      <c r="N28" s="504" t="str">
        <f>April!DL40</f>
        <v/>
      </c>
      <c r="O28" s="337" t="str">
        <f>April!D40</f>
        <v/>
      </c>
      <c r="P28" s="459">
        <f>Maj!A40</f>
        <v>26</v>
      </c>
      <c r="Q28" s="460" t="str">
        <f>Maj!B40</f>
        <v>ti</v>
      </c>
      <c r="R28" s="503" t="str">
        <f>Maj!C40</f>
        <v>Normal uge 1</v>
      </c>
      <c r="S28" s="504" t="str">
        <f>Maj!DL40</f>
        <v/>
      </c>
      <c r="T28" s="337" t="str">
        <f>Maj!D40</f>
        <v/>
      </c>
      <c r="U28" s="459">
        <f>Juni!A40</f>
        <v>26</v>
      </c>
      <c r="V28" s="460" t="str">
        <f>Juni!B40</f>
        <v>fr</v>
      </c>
      <c r="W28" s="503" t="str">
        <f>Juni!C40</f>
        <v>Normal uge 1</v>
      </c>
      <c r="X28" s="504" t="str">
        <f>Juni!DL40</f>
        <v/>
      </c>
      <c r="Y28" s="337" t="str">
        <f>Juni!D40</f>
        <v/>
      </c>
      <c r="Z28" s="459">
        <f>Juli!A40</f>
        <v>26</v>
      </c>
      <c r="AA28" s="460" t="str">
        <f>Juli!B40</f>
        <v>sø</v>
      </c>
      <c r="AB28" s="503" t="str">
        <f>Juli!C40</f>
        <v>Weekend</v>
      </c>
      <c r="AC28" s="504" t="str">
        <f>Juli!DL40</f>
        <v/>
      </c>
      <c r="AD28" s="337" t="str">
        <f>Juli!D40</f>
        <v/>
      </c>
    </row>
    <row r="29" spans="1:30" ht="23" customHeight="1">
      <c r="A29" s="459">
        <f>Februar!A41</f>
        <v>27</v>
      </c>
      <c r="B29" s="460" t="str">
        <f>Februar!B41</f>
        <v>fr</v>
      </c>
      <c r="C29" s="503" t="str">
        <f>Februar!C41</f>
        <v>Normal uge 1</v>
      </c>
      <c r="D29" s="504" t="str">
        <f>Februar!DL41</f>
        <v/>
      </c>
      <c r="E29" s="339" t="str">
        <f>Februar!D41</f>
        <v/>
      </c>
      <c r="F29" s="459">
        <f>Marts!A41</f>
        <v>27</v>
      </c>
      <c r="G29" s="460" t="str">
        <f>Marts!B41</f>
        <v>fr</v>
      </c>
      <c r="H29" s="503" t="str">
        <f>Marts!C41</f>
        <v>Normal uge 1</v>
      </c>
      <c r="I29" s="504" t="str">
        <f>Marts!DL41</f>
        <v/>
      </c>
      <c r="J29" s="337" t="str">
        <f>Marts!D41</f>
        <v/>
      </c>
      <c r="K29" s="459">
        <f>April!A41</f>
        <v>27</v>
      </c>
      <c r="L29" s="460" t="str">
        <f>April!B41</f>
        <v>ma</v>
      </c>
      <c r="M29" s="503" t="str">
        <f>April!C41</f>
        <v>Normal uge 1</v>
      </c>
      <c r="N29" s="504" t="str">
        <f>April!DL41</f>
        <v/>
      </c>
      <c r="O29" s="337">
        <f>April!D41</f>
        <v>17.571428571428573</v>
      </c>
      <c r="P29" s="459">
        <f>Maj!A41</f>
        <v>27</v>
      </c>
      <c r="Q29" s="460" t="str">
        <f>Maj!B41</f>
        <v>on</v>
      </c>
      <c r="R29" s="503" t="str">
        <f>Maj!C41</f>
        <v>Normal uge 1</v>
      </c>
      <c r="S29" s="504" t="str">
        <f>Maj!DL41</f>
        <v/>
      </c>
      <c r="T29" s="337" t="str">
        <f>Maj!D41</f>
        <v/>
      </c>
      <c r="U29" s="459">
        <f>Juni!A41</f>
        <v>27</v>
      </c>
      <c r="V29" s="460" t="str">
        <f>Juni!B41</f>
        <v>lø</v>
      </c>
      <c r="W29" s="503" t="str">
        <f>Juni!C41</f>
        <v>Weekend</v>
      </c>
      <c r="X29" s="504" t="str">
        <f>Juni!DL41</f>
        <v/>
      </c>
      <c r="Y29" s="337" t="str">
        <f>Juni!D41</f>
        <v/>
      </c>
      <c r="Z29" s="459">
        <f>Juli!A41</f>
        <v>27</v>
      </c>
      <c r="AA29" s="460" t="str">
        <f>Juli!B41</f>
        <v>ma</v>
      </c>
      <c r="AB29" s="503" t="str">
        <f>Juli!C41</f>
        <v>Normal uge 1</v>
      </c>
      <c r="AC29" s="504" t="str">
        <f>Juli!DL41</f>
        <v/>
      </c>
      <c r="AD29" s="337">
        <f>Juli!D41</f>
        <v>30.571428571428573</v>
      </c>
    </row>
    <row r="30" spans="1:30" ht="23" customHeight="1">
      <c r="A30" s="459">
        <f>Februar!A42</f>
        <v>28</v>
      </c>
      <c r="B30" s="460" t="str">
        <f>Februar!B42</f>
        <v>lø</v>
      </c>
      <c r="C30" s="503" t="str">
        <f>Februar!C42</f>
        <v>Weekend</v>
      </c>
      <c r="D30" s="504" t="str">
        <f>Februar!DL42</f>
        <v/>
      </c>
      <c r="E30" s="339" t="str">
        <f>Februar!D42</f>
        <v/>
      </c>
      <c r="F30" s="459">
        <f>Marts!A42</f>
        <v>28</v>
      </c>
      <c r="G30" s="460" t="str">
        <f>Marts!B42</f>
        <v>lø</v>
      </c>
      <c r="H30" s="503" t="str">
        <f>Marts!C42</f>
        <v>Weekend</v>
      </c>
      <c r="I30" s="504" t="str">
        <f>Marts!DL42</f>
        <v/>
      </c>
      <c r="J30" s="337" t="str">
        <f>Marts!D42</f>
        <v/>
      </c>
      <c r="K30" s="459">
        <f>April!A42</f>
        <v>28</v>
      </c>
      <c r="L30" s="460" t="str">
        <f>April!B42</f>
        <v>ti</v>
      </c>
      <c r="M30" s="503" t="str">
        <f>April!C42</f>
        <v>Normal uge 1</v>
      </c>
      <c r="N30" s="504" t="str">
        <f>April!DL42</f>
        <v/>
      </c>
      <c r="O30" s="337" t="str">
        <f>April!D42</f>
        <v/>
      </c>
      <c r="P30" s="459">
        <f>Maj!A42</f>
        <v>28</v>
      </c>
      <c r="Q30" s="460" t="str">
        <f>Maj!B42</f>
        <v>to</v>
      </c>
      <c r="R30" s="503" t="str">
        <f>Maj!C42</f>
        <v>Normal uge 1</v>
      </c>
      <c r="S30" s="504" t="str">
        <f>Maj!DL42</f>
        <v/>
      </c>
      <c r="T30" s="337" t="str">
        <f>Maj!D42</f>
        <v/>
      </c>
      <c r="U30" s="459">
        <f>Juni!A42</f>
        <v>28</v>
      </c>
      <c r="V30" s="460" t="str">
        <f>Juni!B42</f>
        <v>sø</v>
      </c>
      <c r="W30" s="503" t="str">
        <f>Juni!C42</f>
        <v>Weekend</v>
      </c>
      <c r="X30" s="504" t="str">
        <f>Juni!DL42</f>
        <v/>
      </c>
      <c r="Y30" s="337" t="str">
        <f>Juni!D42</f>
        <v/>
      </c>
      <c r="Z30" s="459">
        <f>Juli!A42</f>
        <v>28</v>
      </c>
      <c r="AA30" s="460" t="str">
        <f>Juli!B42</f>
        <v>ti</v>
      </c>
      <c r="AB30" s="503" t="str">
        <f>Juli!C42</f>
        <v>Normal uge 1</v>
      </c>
      <c r="AC30" s="504" t="str">
        <f>Juli!DL42</f>
        <v/>
      </c>
      <c r="AD30" s="337" t="str">
        <f>Juli!D42</f>
        <v/>
      </c>
    </row>
    <row r="31" spans="1:30" ht="23" customHeight="1">
      <c r="A31" s="104">
        <f>Februar!A43</f>
        <v>0</v>
      </c>
      <c r="B31" s="104">
        <f>Februar!B43</f>
        <v>0</v>
      </c>
      <c r="C31" s="658">
        <f>Februar!C43</f>
        <v>0</v>
      </c>
      <c r="D31" s="659" t="str">
        <f>Februar!DL43</f>
        <v/>
      </c>
      <c r="E31" s="660" t="str">
        <f>Februar!D43</f>
        <v/>
      </c>
      <c r="F31" s="459">
        <f>Marts!A43</f>
        <v>29</v>
      </c>
      <c r="G31" s="460" t="str">
        <f>Marts!B43</f>
        <v>sø</v>
      </c>
      <c r="H31" s="503" t="str">
        <f>Marts!C43</f>
        <v>Weekend</v>
      </c>
      <c r="I31" s="504" t="str">
        <f>Marts!DL43</f>
        <v>Palmesøndag</v>
      </c>
      <c r="J31" s="337" t="str">
        <f>Marts!D43</f>
        <v/>
      </c>
      <c r="K31" s="459">
        <f>April!A43</f>
        <v>29</v>
      </c>
      <c r="L31" s="460" t="str">
        <f>April!B43</f>
        <v>on</v>
      </c>
      <c r="M31" s="503" t="str">
        <f>April!C43</f>
        <v>Normal uge 1</v>
      </c>
      <c r="N31" s="504" t="str">
        <f>April!DL43</f>
        <v/>
      </c>
      <c r="O31" s="337" t="str">
        <f>April!D43</f>
        <v/>
      </c>
      <c r="P31" s="459">
        <f>Maj!A43</f>
        <v>29</v>
      </c>
      <c r="Q31" s="460" t="str">
        <f>Maj!B43</f>
        <v>fr</v>
      </c>
      <c r="R31" s="503" t="str">
        <f>Maj!C43</f>
        <v>Normal uge 1</v>
      </c>
      <c r="S31" s="504" t="str">
        <f>Maj!DL43</f>
        <v/>
      </c>
      <c r="T31" s="337" t="str">
        <f>Maj!D43</f>
        <v/>
      </c>
      <c r="U31" s="459">
        <f>Juni!A43</f>
        <v>29</v>
      </c>
      <c r="V31" s="460" t="str">
        <f>Juni!B43</f>
        <v>ma</v>
      </c>
      <c r="W31" s="503" t="str">
        <f>Juni!C43</f>
        <v>Normal uge 1</v>
      </c>
      <c r="X31" s="504" t="str">
        <f>Juni!DL43</f>
        <v/>
      </c>
      <c r="Y31" s="337">
        <f>Juni!D43</f>
        <v>26.571428571428573</v>
      </c>
      <c r="Z31" s="459">
        <f>Juli!A43</f>
        <v>29</v>
      </c>
      <c r="AA31" s="460" t="str">
        <f>Juli!B43</f>
        <v>on</v>
      </c>
      <c r="AB31" s="503" t="str">
        <f>Juli!C43</f>
        <v>Normal uge 1</v>
      </c>
      <c r="AC31" s="504" t="str">
        <f>Juli!DL43</f>
        <v/>
      </c>
      <c r="AD31" s="337" t="str">
        <f>Juli!D43</f>
        <v/>
      </c>
    </row>
    <row r="32" spans="1:30" ht="23" customHeight="1">
      <c r="A32" s="52"/>
      <c r="B32" s="52"/>
      <c r="C32" s="53"/>
      <c r="D32" s="53"/>
      <c r="E32" s="269"/>
      <c r="F32" s="459">
        <f>Marts!A44</f>
        <v>30</v>
      </c>
      <c r="G32" s="460" t="str">
        <f>Marts!B44</f>
        <v>ma</v>
      </c>
      <c r="H32" s="503" t="str">
        <f>Marts!C44</f>
        <v>Normal uge 1</v>
      </c>
      <c r="I32" s="504" t="str">
        <f>Marts!DL44</f>
        <v/>
      </c>
      <c r="J32" s="337">
        <f>Marts!D44</f>
        <v>13.571428571428571</v>
      </c>
      <c r="K32" s="459">
        <f>April!A44</f>
        <v>30</v>
      </c>
      <c r="L32" s="460" t="str">
        <f>April!B44</f>
        <v>to</v>
      </c>
      <c r="M32" s="503" t="str">
        <f>April!C44</f>
        <v>Normal uge 1</v>
      </c>
      <c r="N32" s="504" t="str">
        <f>April!DL44</f>
        <v/>
      </c>
      <c r="O32" s="337" t="str">
        <f>April!D44</f>
        <v/>
      </c>
      <c r="P32" s="459">
        <f>Maj!A44</f>
        <v>30</v>
      </c>
      <c r="Q32" s="460" t="str">
        <f>Maj!B44</f>
        <v>lø</v>
      </c>
      <c r="R32" s="503" t="str">
        <f>Maj!C44</f>
        <v>Weekend</v>
      </c>
      <c r="S32" s="504" t="str">
        <f>Maj!DL44</f>
        <v/>
      </c>
      <c r="T32" s="337" t="str">
        <f>Maj!D44</f>
        <v/>
      </c>
      <c r="U32" s="459">
        <f>Juni!A44</f>
        <v>30</v>
      </c>
      <c r="V32" s="460" t="str">
        <f>Juni!B44</f>
        <v>ti</v>
      </c>
      <c r="W32" s="503" t="str">
        <f>Juni!C44</f>
        <v>Normal uge 1</v>
      </c>
      <c r="X32" s="504" t="str">
        <f>Juni!DL44</f>
        <v/>
      </c>
      <c r="Y32" s="337" t="str">
        <f>Juni!D44</f>
        <v/>
      </c>
      <c r="Z32" s="459">
        <f>Juli!A44</f>
        <v>30</v>
      </c>
      <c r="AA32" s="460" t="str">
        <f>Juli!B44</f>
        <v>to</v>
      </c>
      <c r="AB32" s="503" t="str">
        <f>Juli!C44</f>
        <v>Normal uge 1</v>
      </c>
      <c r="AC32" s="504" t="str">
        <f>Juli!DL44</f>
        <v/>
      </c>
      <c r="AD32" s="337" t="str">
        <f>Juli!D44</f>
        <v/>
      </c>
    </row>
    <row r="33" spans="1:30" ht="23" customHeight="1">
      <c r="A33" s="52"/>
      <c r="B33" s="52"/>
      <c r="C33" s="53"/>
      <c r="D33" s="53"/>
      <c r="E33" s="269"/>
      <c r="F33" s="459">
        <f>Marts!A45</f>
        <v>31</v>
      </c>
      <c r="G33" s="460" t="str">
        <f>Marts!B45</f>
        <v>ti</v>
      </c>
      <c r="H33" s="503" t="str">
        <f>Marts!C45</f>
        <v>Normal uge 1</v>
      </c>
      <c r="I33" s="504" t="str">
        <f>Marts!DL45</f>
        <v/>
      </c>
      <c r="J33" s="337" t="str">
        <f>Marts!D45</f>
        <v/>
      </c>
      <c r="K33" s="52"/>
      <c r="L33" s="52"/>
      <c r="M33" s="53"/>
      <c r="N33" s="340"/>
      <c r="O33" s="269"/>
      <c r="P33" s="459">
        <f>Maj!A45</f>
        <v>31</v>
      </c>
      <c r="Q33" s="460" t="str">
        <f>Maj!B45</f>
        <v>sø</v>
      </c>
      <c r="R33" s="503" t="str">
        <f>Maj!C45</f>
        <v>Weekend</v>
      </c>
      <c r="S33" s="504" t="str">
        <f>Maj!DL45</f>
        <v/>
      </c>
      <c r="T33" s="337" t="str">
        <f>Maj!D45</f>
        <v/>
      </c>
      <c r="U33" s="52"/>
      <c r="V33" s="52"/>
      <c r="W33" s="53"/>
      <c r="X33" s="53"/>
      <c r="Y33" s="269"/>
      <c r="Z33" s="459">
        <f>Juli!A45</f>
        <v>31</v>
      </c>
      <c r="AA33" s="460" t="str">
        <f>Juli!B45</f>
        <v>fr</v>
      </c>
      <c r="AB33" s="503" t="str">
        <f>Juli!C45</f>
        <v>Normal uge 1</v>
      </c>
      <c r="AC33" s="504" t="str">
        <f>Juli!DL45</f>
        <v/>
      </c>
      <c r="AD33" s="337" t="str">
        <f>Juli!D45</f>
        <v/>
      </c>
    </row>
    <row r="34" spans="1:30" ht="23" customHeight="1">
      <c r="A34" s="44"/>
      <c r="B34" s="44"/>
      <c r="C34" s="44">
        <f>Aar!Z34</f>
        <v>20</v>
      </c>
      <c r="D34" s="44" t="str">
        <f>Aar!AA34</f>
        <v xml:space="preserve"> arbejdsdage</v>
      </c>
      <c r="E34" s="44"/>
      <c r="F34" s="44"/>
      <c r="G34" s="44"/>
      <c r="H34" s="44">
        <f>Aar!AD34</f>
        <v>22</v>
      </c>
      <c r="I34" s="44" t="str">
        <f>Aar!AE34</f>
        <v xml:space="preserve"> arbejdsdage</v>
      </c>
      <c r="J34" s="44"/>
      <c r="K34" s="44"/>
      <c r="L34" s="44"/>
      <c r="M34" s="44">
        <f>Aar!AH34</f>
        <v>19</v>
      </c>
      <c r="N34" s="44" t="str">
        <f>Aar!AI34</f>
        <v xml:space="preserve"> arbejdsdage</v>
      </c>
      <c r="O34" s="44"/>
      <c r="P34" s="44"/>
      <c r="Q34" s="44"/>
      <c r="R34" s="44">
        <f>Aar!AL34</f>
        <v>19</v>
      </c>
      <c r="S34" s="44" t="str">
        <f>Aar!AM34</f>
        <v xml:space="preserve"> arbejdsdage</v>
      </c>
      <c r="T34" s="44"/>
      <c r="U34" s="44"/>
      <c r="V34" s="44"/>
      <c r="W34" s="44">
        <f>Aar!AP34</f>
        <v>22</v>
      </c>
      <c r="X34" s="44" t="str">
        <f>Aar!AQ34</f>
        <v xml:space="preserve"> arbejdsdage</v>
      </c>
      <c r="Y34" s="44"/>
      <c r="Z34" s="44"/>
      <c r="AA34" s="44"/>
      <c r="AB34" s="306">
        <f>Aar!AT34</f>
        <v>23</v>
      </c>
      <c r="AC34" s="306" t="str">
        <f>Aar!AU34</f>
        <v xml:space="preserve"> arbejdsdage</v>
      </c>
      <c r="AD34" s="44"/>
    </row>
    <row r="35" spans="1:30" ht="23"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sheetData>
  <sheetProtection sheet="1" formatCells="0" formatColumns="0" formatRows="0" insertColumns="0"/>
  <phoneticPr fontId="4" type="noConversion"/>
  <conditionalFormatting sqref="E3:E31">
    <cfRule type="expression" dxfId="253" priority="267">
      <formula>OR(#REF!="Skema 4")</formula>
    </cfRule>
    <cfRule type="expression" dxfId="252" priority="326">
      <formula>OR(#REF!="pæd.dag")</formula>
    </cfRule>
    <cfRule type="expression" dxfId="251" priority="327">
      <formula>OR(#REF!="nul-dag")</formula>
    </cfRule>
    <cfRule type="expression" dxfId="250" priority="328">
      <formula>OR(#REF!="SH-dag")</formula>
    </cfRule>
    <cfRule type="expression" dxfId="249" priority="329">
      <formula>OR(#REF!="ekskursion")</formula>
    </cfRule>
    <cfRule type="expression" dxfId="248" priority="335" stopIfTrue="1">
      <formula>OR(#REF!="Orlov")</formula>
    </cfRule>
    <cfRule type="expression" dxfId="247" priority="330">
      <formula>OR(#REF!="lejrskole")</formula>
    </cfRule>
    <cfRule type="expression" dxfId="246" priority="331">
      <formula>OR(#REF!="emnedag")</formula>
    </cfRule>
    <cfRule type="expression" dxfId="245" priority="332">
      <formula>OR(#REF!="fagdag")</formula>
    </cfRule>
    <cfRule type="expression" dxfId="244" priority="333">
      <formula>OR(#REF!="feriedag")</formula>
    </cfRule>
    <cfRule type="expression" dxfId="243" priority="334">
      <formula>OR(#REF!="weekend")</formula>
    </cfRule>
    <cfRule type="expression" dxfId="242" priority="264">
      <formula>OR(#REF!="Skema 1")</formula>
    </cfRule>
    <cfRule type="expression" dxfId="241" priority="265">
      <formula>OR(#REF!="Skema 2")</formula>
    </cfRule>
    <cfRule type="expression" dxfId="240" priority="275">
      <formula>OR(#REF!="Ikke relevant")</formula>
    </cfRule>
    <cfRule type="expression" dxfId="239" priority="266">
      <formula>OR(#REF!="Skema 3")</formula>
    </cfRule>
  </conditionalFormatting>
  <conditionalFormatting sqref="J3:J33">
    <cfRule type="expression" dxfId="215" priority="318">
      <formula>OR(#REF!="SH-dag")</formula>
    </cfRule>
    <cfRule type="expression" dxfId="214" priority="319">
      <formula>OR(#REF!="ekskursion")</formula>
    </cfRule>
    <cfRule type="expression" dxfId="213" priority="320">
      <formula>OR(#REF!="lejrskole")</formula>
    </cfRule>
    <cfRule type="expression" dxfId="212" priority="321">
      <formula>OR(#REF!="emnedag")</formula>
    </cfRule>
    <cfRule type="expression" dxfId="211" priority="322">
      <formula>OR(#REF!="fagdag")</formula>
    </cfRule>
    <cfRule type="expression" dxfId="210" priority="323">
      <formula>OR(#REF!="feriedag")</formula>
    </cfRule>
    <cfRule type="expression" dxfId="209" priority="324">
      <formula>OR(#REF!="weekend")</formula>
    </cfRule>
    <cfRule type="expression" dxfId="208" priority="325" stopIfTrue="1">
      <formula>OR(#REF!="Orlov")</formula>
    </cfRule>
    <cfRule type="expression" dxfId="207" priority="317">
      <formula>OR(#REF!="nul-dag")</formula>
    </cfRule>
    <cfRule type="expression" dxfId="206" priority="316">
      <formula>OR(#REF!="pæd.dag")</formula>
    </cfRule>
    <cfRule type="expression" dxfId="205" priority="260">
      <formula>OR(#REF!="Skema 1")</formula>
    </cfRule>
    <cfRule type="expression" dxfId="204" priority="261">
      <formula>OR(#REF!="Skema 2")</formula>
    </cfRule>
    <cfRule type="expression" dxfId="203" priority="262">
      <formula>OR(#REF!="Skema 3")</formula>
    </cfRule>
    <cfRule type="expression" dxfId="202" priority="263">
      <formula>OR(#REF!="Skema 4")</formula>
    </cfRule>
    <cfRule type="expression" dxfId="201" priority="274">
      <formula>OR(#REF!="Ikke relevant")</formula>
    </cfRule>
  </conditionalFormatting>
  <conditionalFormatting sqref="O3:O32">
    <cfRule type="expression" dxfId="177" priority="315" stopIfTrue="1">
      <formula>OR(#REF!="Orlov")</formula>
    </cfRule>
    <cfRule type="expression" dxfId="176" priority="314">
      <formula>OR(#REF!="weekend")</formula>
    </cfRule>
    <cfRule type="expression" dxfId="175" priority="313">
      <formula>OR(#REF!="feriedag")</formula>
    </cfRule>
    <cfRule type="expression" dxfId="174" priority="312">
      <formula>OR(#REF!="fagdag")</formula>
    </cfRule>
    <cfRule type="expression" dxfId="173" priority="311">
      <formula>OR(#REF!="emnedag")</formula>
    </cfRule>
    <cfRule type="expression" dxfId="172" priority="310">
      <formula>OR(#REF!="lejrskole")</formula>
    </cfRule>
    <cfRule type="expression" dxfId="171" priority="309">
      <formula>OR(#REF!="ekskursion")</formula>
    </cfRule>
    <cfRule type="expression" dxfId="170" priority="308">
      <formula>OR(#REF!="SH-dag")</formula>
    </cfRule>
    <cfRule type="expression" dxfId="169" priority="256">
      <formula>OR(#REF!="Skema 1")</formula>
    </cfRule>
    <cfRule type="expression" dxfId="168" priority="257">
      <formula>OR(#REF!="Skema 2")</formula>
    </cfRule>
    <cfRule type="expression" dxfId="167" priority="258">
      <formula>OR(#REF!="Skema 3")</formula>
    </cfRule>
    <cfRule type="expression" dxfId="166" priority="259">
      <formula>OR(#REF!="Skema 4")</formula>
    </cfRule>
    <cfRule type="expression" dxfId="165" priority="307">
      <formula>OR(#REF!="nul-dag")</formula>
    </cfRule>
    <cfRule type="expression" dxfId="164" priority="306">
      <formula>OR(#REF!="pæd.dag")</formula>
    </cfRule>
    <cfRule type="expression" dxfId="163" priority="273">
      <formula>OR(#REF!="ikke relevant")</formula>
    </cfRule>
  </conditionalFormatting>
  <conditionalFormatting sqref="P33:S33">
    <cfRule type="expression" dxfId="162" priority="167">
      <formula>OR($C33="Normal uge 2")</formula>
    </cfRule>
    <cfRule type="expression" dxfId="161" priority="178">
      <formula>OR($C33="feriedag")</formula>
    </cfRule>
    <cfRule type="expression" dxfId="160" priority="180" stopIfTrue="1">
      <formula>OR($C33="Rul 2")</formula>
    </cfRule>
    <cfRule type="expression" dxfId="159" priority="160" stopIfTrue="1">
      <formula>OR($C33="Rul 6")</formula>
    </cfRule>
    <cfRule type="expression" dxfId="158" priority="161" stopIfTrue="1">
      <formula>OR($C33="Rul 5")</formula>
    </cfRule>
    <cfRule type="expression" dxfId="157" priority="162" stopIfTrue="1">
      <formula>OR($C33="Rul 4")</formula>
    </cfRule>
    <cfRule type="expression" dxfId="156" priority="163" stopIfTrue="1">
      <formula>OR($C33="Rul 3")</formula>
    </cfRule>
    <cfRule type="expression" dxfId="155" priority="164" stopIfTrue="1">
      <formula>OR($C33="Rul 1")</formula>
    </cfRule>
    <cfRule type="expression" dxfId="154" priority="165">
      <formula>OR($C33="Normal uge 1")</formula>
    </cfRule>
    <cfRule type="expression" dxfId="153" priority="166">
      <formula>OR($C33="Orlov")</formula>
    </cfRule>
    <cfRule type="expression" dxfId="152" priority="179">
      <formula>OR($C33="weekend")</formula>
    </cfRule>
    <cfRule type="expression" dxfId="151" priority="168">
      <formula>OR($C33="Normal uge 3")</formula>
    </cfRule>
    <cfRule type="expression" dxfId="150" priority="169">
      <formula>OR($C33="Normal uge 4")</formula>
    </cfRule>
    <cfRule type="expression" dxfId="149" priority="170">
      <formula>OR($C33="Ikke relevant")</formula>
    </cfRule>
    <cfRule type="expression" dxfId="148" priority="171">
      <formula>OR($C33="pæd.dag")</formula>
    </cfRule>
    <cfRule type="expression" dxfId="147" priority="172">
      <formula>OR($C33="nul-dag")</formula>
    </cfRule>
    <cfRule type="expression" dxfId="146" priority="173">
      <formula>OR($C33="SH-dag")</formula>
    </cfRule>
    <cfRule type="expression" dxfId="145" priority="174">
      <formula>OR($C33="ekskursion")</formula>
    </cfRule>
    <cfRule type="expression" dxfId="144" priority="175">
      <formula>OR($C33="Koloni")</formula>
    </cfRule>
    <cfRule type="expression" dxfId="143" priority="176">
      <formula>OR($C33="Anderledes dag")</formula>
    </cfRule>
    <cfRule type="expression" dxfId="142" priority="177">
      <formula>OR($C33="Feriepasningsdag")</formula>
    </cfRule>
  </conditionalFormatting>
  <conditionalFormatting sqref="T3:T33">
    <cfRule type="expression" dxfId="118" priority="305" stopIfTrue="1">
      <formula>OR(#REF!="Orlov")</formula>
    </cfRule>
    <cfRule type="expression" dxfId="117" priority="304">
      <formula>OR(#REF!="weekend")</formula>
    </cfRule>
    <cfRule type="expression" dxfId="116" priority="303">
      <formula>OR(#REF!="feriedag")</formula>
    </cfRule>
    <cfRule type="expression" dxfId="115" priority="302">
      <formula>OR(#REF!="fagdag")</formula>
    </cfRule>
    <cfRule type="expression" dxfId="114" priority="301">
      <formula>OR(#REF!="emnedag")</formula>
    </cfRule>
    <cfRule type="expression" dxfId="113" priority="300">
      <formula>OR(#REF!="lejrskole")</formula>
    </cfRule>
    <cfRule type="expression" dxfId="112" priority="299">
      <formula>OR(#REF!="ekskursion")</formula>
    </cfRule>
    <cfRule type="expression" dxfId="111" priority="298">
      <formula>OR(#REF!="SH-dag")</formula>
    </cfRule>
    <cfRule type="expression" dxfId="110" priority="297">
      <formula>OR(#REF!="nul-dag")</formula>
    </cfRule>
    <cfRule type="expression" dxfId="109" priority="252">
      <formula>OR(#REF!="Skema 1")</formula>
    </cfRule>
    <cfRule type="expression" dxfId="108" priority="253">
      <formula>OR(#REF!="Skema 2")</formula>
    </cfRule>
    <cfRule type="expression" dxfId="107" priority="254">
      <formula>OR(#REF!="Skema 3")</formula>
    </cfRule>
    <cfRule type="expression" dxfId="106" priority="255">
      <formula>OR(#REF!="Skema 4")</formula>
    </cfRule>
    <cfRule type="expression" dxfId="105" priority="296">
      <formula>OR(#REF!="pæd.dag")</formula>
    </cfRule>
    <cfRule type="expression" dxfId="104" priority="272">
      <formula>OR(#REF!="Ikke relevant")</formula>
    </cfRule>
  </conditionalFormatting>
  <conditionalFormatting sqref="Y3:Y32">
    <cfRule type="expression" dxfId="80" priority="250">
      <formula>OR(#REF!="Skema 3")</formula>
    </cfRule>
    <cfRule type="expression" dxfId="79" priority="249">
      <formula>OR(#REF!="Skema 2")</formula>
    </cfRule>
    <cfRule type="expression" dxfId="78" priority="269">
      <formula>OR(#REF!="Ikke relevant")</formula>
    </cfRule>
    <cfRule type="expression" dxfId="77" priority="286">
      <formula>OR(#REF!="pæd.dag")</formula>
    </cfRule>
    <cfRule type="expression" dxfId="76" priority="287">
      <formula>OR(#REF!="nul-dag")</formula>
    </cfRule>
    <cfRule type="expression" dxfId="75" priority="288">
      <formula>OR(#REF!="SH-dag")</formula>
    </cfRule>
    <cfRule type="expression" dxfId="74" priority="289">
      <formula>OR(#REF!="ekskursion")</formula>
    </cfRule>
    <cfRule type="expression" dxfId="73" priority="290">
      <formula>OR(#REF!="lejrskole")</formula>
    </cfRule>
    <cfRule type="expression" dxfId="72" priority="291">
      <formula>OR(#REF!="emnedag")</formula>
    </cfRule>
    <cfRule type="expression" dxfId="71" priority="292">
      <formula>OR(#REF!="fagdag")</formula>
    </cfRule>
    <cfRule type="expression" dxfId="70" priority="293">
      <formula>OR(#REF!="feriedag")</formula>
    </cfRule>
    <cfRule type="expression" dxfId="69" priority="294">
      <formula>OR(#REF!="weekend")</formula>
    </cfRule>
    <cfRule type="expression" dxfId="68" priority="295" stopIfTrue="1">
      <formula>OR(#REF!="Orlov")</formula>
    </cfRule>
    <cfRule type="expression" dxfId="67" priority="248">
      <formula>OR(#REF!="Skema 1")</formula>
    </cfRule>
    <cfRule type="expression" dxfId="66" priority="251">
      <formula>OR(#REF!="Skema 4")</formula>
    </cfRule>
  </conditionalFormatting>
  <conditionalFormatting sqref="AD3:AD33">
    <cfRule type="expression" dxfId="42" priority="282">
      <formula>OR(#REF!="fagdag")</formula>
    </cfRule>
    <cfRule type="expression" dxfId="41" priority="278">
      <formula>OR(#REF!="SH-dag")</formula>
    </cfRule>
    <cfRule type="expression" dxfId="40" priority="279">
      <formula>OR(#REF!="ekskursion")</formula>
    </cfRule>
    <cfRule type="expression" dxfId="39" priority="280">
      <formula>OR(#REF!="lejrskole")</formula>
    </cfRule>
    <cfRule type="expression" dxfId="38" priority="281">
      <formula>OR(#REF!="emnedag")</formula>
    </cfRule>
    <cfRule type="expression" dxfId="37" priority="244">
      <formula>OR(#REF!="Skema 1")</formula>
    </cfRule>
    <cfRule type="expression" dxfId="36" priority="245">
      <formula>OR(#REF!="Skema 2")</formula>
    </cfRule>
    <cfRule type="expression" dxfId="35" priority="246">
      <formula>OR(#REF!="Skema 3")</formula>
    </cfRule>
    <cfRule type="expression" dxfId="34" priority="247">
      <formula>OR(#REF!="Skema 4")</formula>
    </cfRule>
    <cfRule type="expression" dxfId="33" priority="277">
      <formula>OR(#REF!="nul-dag")</formula>
    </cfRule>
    <cfRule type="expression" dxfId="32" priority="276">
      <formula>OR(#REF!="pæd.dag")</formula>
    </cfRule>
    <cfRule type="expression" dxfId="31" priority="285" stopIfTrue="1">
      <formula>OR(#REF!="Orlov")</formula>
    </cfRule>
    <cfRule type="expression" dxfId="30" priority="268">
      <formula>OR(#REF!="Ikke relevant")</formula>
    </cfRule>
    <cfRule type="expression" dxfId="29" priority="283">
      <formula>OR(#REF!="feriedag")</formula>
    </cfRule>
    <cfRule type="expression" dxfId="28" priority="284">
      <formula>OR(#REF!="weekend")</formula>
    </cfRule>
  </conditionalFormatting>
  <printOptions horizontalCentered="1" verticalCentered="1"/>
  <pageMargins left="0.35433070866141736" right="0.35433070866141736" top="0.39370078740157483" bottom="0.39370078740157483" header="0.19685039370078741" footer="0.11811023622047245"/>
  <pageSetup paperSize="9" scale="53" orientation="landscape" horizontalDpi="4294967292" verticalDpi="4294967292"/>
  <ignoredErrors>
    <ignoredError sqref="C33:E33 K33:O33 C32:E32 U33:Y33" unlockedFormula="1"/>
  </ignoredErrors>
  <extLst>
    <ext xmlns:x14="http://schemas.microsoft.com/office/spreadsheetml/2009/9/main" uri="{78C0D931-6437-407d-A8EE-F0AAD7539E65}">
      <x14:conditionalFormattings>
        <x14:conditionalFormatting xmlns:xm="http://schemas.microsoft.com/office/excel/2006/main">
          <x14:cfRule type="expression" priority="233" id="{C60C78D6-B3A3-B547-B69A-6B4839743828}">
            <xm:f>OR(Februar!$C15="Ikke relevant")</xm:f>
            <x14:dxf>
              <font>
                <color theme="0"/>
              </font>
              <fill>
                <patternFill>
                  <bgColor theme="1"/>
                </patternFill>
              </fill>
            </x14:dxf>
          </x14:cfRule>
          <x14:cfRule type="expression" priority="243" id="{13628177-35AC-4B44-B46D-A9E4934FDEF6}">
            <xm:f>OR(Februar!$C15="weekend")</xm:f>
            <x14:dxf>
              <font>
                <color theme="1"/>
              </font>
              <fill>
                <patternFill>
                  <bgColor theme="0" tint="-0.14996795556505021"/>
                </patternFill>
              </fill>
            </x14:dxf>
          </x14:cfRule>
          <x14:cfRule type="expression" priority="242" id="{61AA8889-17AA-FB48-A1E1-3B654219ED0B}">
            <xm:f>OR(Februar!$C15="feriedag")</xm:f>
            <x14:dxf>
              <font>
                <color theme="1"/>
              </font>
              <fill>
                <patternFill>
                  <bgColor theme="6" tint="0.39994506668294322"/>
                </patternFill>
              </fill>
            </x14:dxf>
          </x14:cfRule>
          <x14:cfRule type="expression" priority="241" id="{AE7E99AC-D02A-5E43-B5DD-9C1BDA55A616}">
            <xm:f>OR(Februar!$C15="ferieåbning")</xm:f>
            <x14:dxf>
              <font>
                <color theme="1"/>
              </font>
              <fill>
                <patternFill>
                  <bgColor theme="9" tint="0.59996337778862885"/>
                </patternFill>
              </fill>
            </x14:dxf>
          </x14:cfRule>
          <x14:cfRule type="expression" priority="240" id="{1BA7FAD0-4D52-054B-9E82-1C1C5EBE299C}">
            <xm:f>OR(Februar!$C15="Anderledes dag")</xm:f>
            <x14:dxf>
              <font>
                <color theme="1"/>
              </font>
              <fill>
                <patternFill>
                  <bgColor theme="5" tint="0.59996337778862885"/>
                </patternFill>
              </fill>
            </x14:dxf>
          </x14:cfRule>
          <x14:cfRule type="expression" priority="239" id="{747358A2-01CB-F548-BF36-339B9E9F78E7}">
            <xm:f>OR(Februar!$C15="Koloni")</xm:f>
            <x14:dxf>
              <font>
                <color theme="1"/>
              </font>
              <fill>
                <patternFill>
                  <bgColor theme="8" tint="0.59996337778862885"/>
                </patternFill>
              </fill>
            </x14:dxf>
          </x14:cfRule>
          <x14:cfRule type="expression" priority="238" id="{8486C030-0D52-F943-8773-AC3728892C61}">
            <xm:f>OR(Februar!$C15="ekskursion")</xm:f>
            <x14:dxf>
              <font>
                <color theme="1"/>
              </font>
              <fill>
                <patternFill>
                  <bgColor rgb="FFFFFF00"/>
                </patternFill>
              </fill>
            </x14:dxf>
          </x14:cfRule>
          <x14:cfRule type="expression" priority="223" id="{159C4567-6BCF-BD41-BFB5-94C082F91661}">
            <xm:f>OR(Februar!$C15="Rul 1")</xm:f>
            <x14:dxf>
              <font>
                <color theme="1"/>
              </font>
              <fill>
                <patternFill patternType="solid">
                  <bgColor theme="2"/>
                </patternFill>
              </fill>
            </x14:dxf>
          </x14:cfRule>
          <x14:cfRule type="expression" priority="224" id="{286CA561-8EEF-EC4E-94F7-8521A479205D}">
            <xm:f>OR(Februar!$C15="Rul 2")</xm:f>
            <x14:dxf>
              <font>
                <color theme="1"/>
              </font>
              <fill>
                <patternFill patternType="solid">
                  <bgColor theme="2" tint="-9.9948118533890809E-2"/>
                </patternFill>
              </fill>
            </x14:dxf>
          </x14:cfRule>
          <x14:cfRule type="expression" priority="225" id="{9E74FDCC-FAB6-6A4E-A7D6-0A413C9E3D6F}">
            <xm:f>OR(Februar!$C15="Rul 3")</xm:f>
            <x14:dxf>
              <font>
                <color theme="1"/>
              </font>
              <fill>
                <patternFill patternType="solid">
                  <bgColor theme="2" tint="-0.24994659260841701"/>
                </patternFill>
              </fill>
            </x14:dxf>
          </x14:cfRule>
          <x14:cfRule type="expression" priority="11" stopIfTrue="1" id="{7779B675-2BD7-6248-AB16-723BAE6DDB7C}">
            <xm:f>OR(Februar!$C15="Normal uge 6")</xm:f>
            <x14:dxf>
              <font>
                <color theme="0"/>
              </font>
              <fill>
                <patternFill patternType="solid">
                  <bgColor theme="9" tint="-0.499984740745262"/>
                </patternFill>
              </fill>
            </x14:dxf>
          </x14:cfRule>
          <x14:cfRule type="expression" priority="12" stopIfTrue="1" id="{0E64094B-4805-FD4F-8310-2FB56FF2493D}">
            <xm:f>OR(Februar!$C15="Normal uge 5")</xm:f>
            <x14:dxf>
              <font>
                <color theme="0"/>
              </font>
              <fill>
                <patternFill patternType="solid">
                  <bgColor theme="9" tint="-0.24994659260841701"/>
                </patternFill>
              </fill>
            </x14:dxf>
          </x14:cfRule>
          <x14:cfRule type="expression" priority="237" id="{5A22511C-7C28-2448-80B1-7F8CB0720754}">
            <xm:f>OR(Februar!$C15="Nul-dag")</xm:f>
            <x14:dxf>
              <font>
                <color theme="1"/>
              </font>
              <fill>
                <patternFill>
                  <bgColor theme="5" tint="0.79998168889431442"/>
                </patternFill>
              </fill>
            </x14:dxf>
          </x14:cfRule>
          <x14:cfRule type="expression" priority="236" id="{48F60530-E997-FD4B-BEF5-F67B58F35212}">
            <xm:f>OR(Februar!$C15="SH-dag")</xm:f>
            <x14:dxf>
              <font>
                <color theme="1"/>
              </font>
              <fill>
                <patternFill>
                  <bgColor rgb="FFFF2F82"/>
                </patternFill>
              </fill>
            </x14:dxf>
          </x14:cfRule>
          <x14:cfRule type="expression" priority="235" id="{7F5BC6AA-2B5D-0341-A699-B3914A97A39D}">
            <xm:f>OR(Februar!$C15="pæd.dag")</xm:f>
            <x14:dxf>
              <font>
                <color theme="1"/>
              </font>
              <fill>
                <patternFill>
                  <bgColor theme="7" tint="0.39994506668294322"/>
                </patternFill>
              </fill>
            </x14:dxf>
          </x14:cfRule>
          <x14:cfRule type="expression" priority="234" id="{5C8315A7-CA6B-5940-8047-F7B7CCB4EAFF}">
            <xm:f>OR(Februar!$C15="Normal uge 4")</xm:f>
            <x14:dxf>
              <font>
                <color theme="0"/>
              </font>
              <fill>
                <patternFill patternType="solid">
                  <bgColor theme="4" tint="-0.24994659260841701"/>
                </patternFill>
              </fill>
            </x14:dxf>
          </x14:cfRule>
          <x14:cfRule type="expression" priority="226" id="{EFC8797D-14D2-D146-9301-511C49706EB4}">
            <xm:f>OR(Februar!$C15="Rul 4")</xm:f>
            <x14:dxf>
              <font>
                <color theme="1"/>
              </font>
              <fill>
                <patternFill patternType="solid">
                  <bgColor theme="2" tint="-0.499984740745262"/>
                </patternFill>
              </fill>
            </x14:dxf>
          </x14:cfRule>
          <x14:cfRule type="expression" priority="227" id="{9F3887D5-029F-2C48-A297-7A99E4E27703}">
            <xm:f>OR(Februar!$C15="Rul 5")</xm:f>
            <x14:dxf>
              <font>
                <color theme="0"/>
              </font>
              <fill>
                <patternFill patternType="solid">
                  <bgColor theme="2" tint="-0.749961851863155"/>
                </patternFill>
              </fill>
            </x14:dxf>
          </x14:cfRule>
          <x14:cfRule type="expression" priority="228" id="{4179BA6B-1B85-2949-9ECB-6328465D4B79}">
            <xm:f>OR(Februar!$C15="Rul 6")</xm:f>
            <x14:dxf>
              <font>
                <color theme="0"/>
              </font>
              <fill>
                <patternFill patternType="solid">
                  <bgColor theme="2" tint="-0.89996032593768116"/>
                </patternFill>
              </fill>
            </x14:dxf>
          </x14:cfRule>
          <x14:cfRule type="expression" priority="229" id="{0A79AA21-8C16-8E43-9DFB-812FA16855F6}">
            <xm:f>OR(Februar!$C15="Orlov")</xm:f>
            <x14:dxf>
              <font>
                <color theme="0"/>
              </font>
              <fill>
                <patternFill patternType="solid">
                  <bgColor theme="6" tint="-0.24994659260841701"/>
                </patternFill>
              </fill>
            </x14:dxf>
          </x14:cfRule>
          <x14:cfRule type="expression" priority="230" id="{6ADC02A4-CE45-2249-803F-378A2DAB0BD7}">
            <xm:f>OR(Februar!$C15="Normal uge 1")</xm:f>
            <x14:dxf>
              <font>
                <color theme="1"/>
              </font>
              <fill>
                <patternFill patternType="solid">
                  <bgColor theme="4" tint="0.79998168889431442"/>
                </patternFill>
              </fill>
            </x14:dxf>
          </x14:cfRule>
          <x14:cfRule type="expression" priority="231" id="{9B2F6A87-E672-324B-A08B-7101C9F52285}">
            <xm:f>OR(Februar!$C15="Normal uge 2")</xm:f>
            <x14:dxf>
              <font>
                <color theme="1"/>
              </font>
              <fill>
                <patternFill patternType="solid">
                  <bgColor theme="4" tint="0.59996337778862885"/>
                </patternFill>
              </fill>
            </x14:dxf>
          </x14:cfRule>
          <x14:cfRule type="expression" priority="232" id="{F3E36635-2A55-B246-ABD1-7DBA225908F2}">
            <xm:f>OR(Februar!$C15="Normal uge 3")</xm:f>
            <x14:dxf>
              <font>
                <color theme="0"/>
              </font>
              <fill>
                <patternFill patternType="solid">
                  <bgColor theme="4" tint="0.39994506668294322"/>
                </patternFill>
              </fill>
            </x14:dxf>
          </x14:cfRule>
          <xm:sqref>A3:E31</xm:sqref>
        </x14:conditionalFormatting>
        <x14:conditionalFormatting xmlns:xm="http://schemas.microsoft.com/office/excel/2006/main">
          <x14:cfRule type="expression" priority="136" id="{0FD3CC80-AA34-A241-BC0C-35140755EED3}">
            <xm:f>OR(Marts!$C15="ferieåbning")</xm:f>
            <x14:dxf>
              <font>
                <color theme="1"/>
              </font>
              <fill>
                <patternFill>
                  <bgColor theme="9" tint="0.59996337778862885"/>
                </patternFill>
              </fill>
            </x14:dxf>
          </x14:cfRule>
          <x14:cfRule type="expression" priority="10" id="{2D3A37C9-F04E-9B4E-A922-6375D1087AB6}">
            <xm:f>OR(Marts!$C15="Normal uge 5")</xm:f>
            <x14:dxf>
              <font>
                <color theme="0"/>
              </font>
              <fill>
                <patternFill patternType="solid">
                  <bgColor theme="9" tint="-0.24994659260841701"/>
                </patternFill>
              </fill>
            </x14:dxf>
          </x14:cfRule>
          <x14:cfRule type="expression" priority="118" id="{03445277-3989-CC4B-A8F8-6875062647A4}">
            <xm:f>OR(Marts!$C15="Rul 1")</xm:f>
            <x14:dxf>
              <font>
                <color theme="1"/>
              </font>
              <fill>
                <patternFill patternType="solid">
                  <bgColor theme="2"/>
                </patternFill>
              </fill>
            </x14:dxf>
          </x14:cfRule>
          <x14:cfRule type="expression" priority="134" id="{399CA3D7-7787-7446-85C3-3EE61419945D}">
            <xm:f>OR(Marts!$C15="Koloni")</xm:f>
            <x14:dxf>
              <font>
                <color theme="1"/>
              </font>
              <fill>
                <patternFill>
                  <bgColor theme="8" tint="0.59996337778862885"/>
                </patternFill>
              </fill>
            </x14:dxf>
          </x14:cfRule>
          <x14:cfRule type="expression" priority="133" id="{C8B151A3-548C-214A-A9BF-3B5F5AB6A358}">
            <xm:f>OR(Marts!$C15="ekskursion")</xm:f>
            <x14:dxf>
              <font>
                <color theme="1"/>
              </font>
              <fill>
                <patternFill>
                  <bgColor rgb="FFFFFF00"/>
                </patternFill>
              </fill>
            </x14:dxf>
          </x14:cfRule>
          <x14:cfRule type="expression" priority="137" id="{5BE0F60B-6345-4247-8C0D-B5CB10F7CF35}">
            <xm:f>OR(Marts!$C15="feriedag")</xm:f>
            <x14:dxf>
              <font>
                <color theme="1"/>
              </font>
              <fill>
                <patternFill>
                  <bgColor theme="6" tint="0.39994506668294322"/>
                </patternFill>
              </fill>
            </x14:dxf>
          </x14:cfRule>
          <x14:cfRule type="expression" priority="138" id="{DA3FD3D8-ED78-5E4E-8211-B634C95FF4E2}">
            <xm:f>OR(Marts!$C15="weekend")</xm:f>
            <x14:dxf>
              <font>
                <color theme="1"/>
              </font>
              <fill>
                <patternFill>
                  <bgColor theme="0" tint="-0.14996795556505021"/>
                </patternFill>
              </fill>
            </x14:dxf>
          </x14:cfRule>
          <x14:cfRule type="expression" priority="119" id="{86EE0E38-EAD0-FA45-83C1-D0A929D02E49}">
            <xm:f>OR(Marts!$C15="Rul 2")</xm:f>
            <x14:dxf>
              <font>
                <color theme="1"/>
              </font>
              <fill>
                <patternFill patternType="solid">
                  <bgColor theme="2" tint="-9.9948118533890809E-2"/>
                </patternFill>
              </fill>
            </x14:dxf>
          </x14:cfRule>
          <x14:cfRule type="expression" priority="120" id="{1A14AC6B-747D-E144-8DC1-01CCD5001A38}">
            <xm:f>OR(Marts!$C15="Rul 3")</xm:f>
            <x14:dxf>
              <font>
                <color theme="1"/>
              </font>
              <fill>
                <patternFill patternType="solid">
                  <bgColor theme="2" tint="-0.24994659260841701"/>
                </patternFill>
              </fill>
            </x14:dxf>
          </x14:cfRule>
          <x14:cfRule type="expression" priority="132" id="{39690F77-D363-7249-963A-8E890CC400DF}">
            <xm:f>OR(Marts!$C15="Nul-dag")</xm:f>
            <x14:dxf>
              <font>
                <color theme="1"/>
              </font>
              <fill>
                <patternFill>
                  <bgColor theme="5" tint="0.79998168889431442"/>
                </patternFill>
              </fill>
            </x14:dxf>
          </x14:cfRule>
          <x14:cfRule type="expression" priority="131" id="{2D439BB9-2FF0-ED40-B90E-CB8E63448CAB}">
            <xm:f>OR(Marts!$C15="SH-dag")</xm:f>
            <x14:dxf>
              <font>
                <color theme="1"/>
              </font>
              <fill>
                <patternFill>
                  <bgColor rgb="FFFF2F82"/>
                </patternFill>
              </fill>
            </x14:dxf>
          </x14:cfRule>
          <x14:cfRule type="expression" priority="130" id="{0931C59A-4002-324D-B95A-3853397BAAF0}">
            <xm:f>OR(Marts!$C15="pæd.dag")</xm:f>
            <x14:dxf>
              <font>
                <color theme="1"/>
              </font>
              <fill>
                <patternFill>
                  <bgColor theme="7" tint="0.39994506668294322"/>
                </patternFill>
              </fill>
            </x14:dxf>
          </x14:cfRule>
          <x14:cfRule type="expression" priority="129" id="{23601EBC-23E2-1748-8AD0-D8FF32656320}">
            <xm:f>OR(Marts!$C15="Normal uge 4")</xm:f>
            <x14:dxf>
              <font>
                <color theme="0"/>
              </font>
              <fill>
                <patternFill patternType="solid">
                  <bgColor theme="4" tint="-0.24994659260841701"/>
                </patternFill>
              </fill>
            </x14:dxf>
          </x14:cfRule>
          <x14:cfRule type="expression" priority="128" id="{90D97F17-DEED-7441-91C4-4E79EA7C3B63}">
            <xm:f>OR(Marts!$C15="Ikke relevant")</xm:f>
            <x14:dxf>
              <font>
                <color theme="0"/>
              </font>
              <fill>
                <patternFill>
                  <bgColor theme="1"/>
                </patternFill>
              </fill>
            </x14:dxf>
          </x14:cfRule>
          <x14:cfRule type="expression" priority="127" id="{6ABBA402-9CDF-E641-A68A-075F5D66CD07}">
            <xm:f>OR(Marts!$C15="Normal uge 3")</xm:f>
            <x14:dxf>
              <font>
                <color theme="0"/>
              </font>
              <fill>
                <patternFill patternType="solid">
                  <bgColor theme="4" tint="0.39994506668294322"/>
                </patternFill>
              </fill>
            </x14:dxf>
          </x14:cfRule>
          <x14:cfRule type="expression" priority="126" id="{93F0D14D-2317-6748-B827-9E4B256A549E}">
            <xm:f>OR(Marts!$C15="Normal uge 2")</xm:f>
            <x14:dxf>
              <font>
                <color theme="1"/>
              </font>
              <fill>
                <patternFill patternType="solid">
                  <bgColor theme="4" tint="0.59996337778862885"/>
                </patternFill>
              </fill>
            </x14:dxf>
          </x14:cfRule>
          <x14:cfRule type="expression" priority="125" id="{4E5A2FAF-026B-0144-B7FA-86B0887ED92B}">
            <xm:f>OR(Marts!$C15="Normal uge 1")</xm:f>
            <x14:dxf>
              <font>
                <color theme="1"/>
              </font>
              <fill>
                <patternFill patternType="solid">
                  <bgColor theme="4" tint="0.79998168889431442"/>
                </patternFill>
              </fill>
            </x14:dxf>
          </x14:cfRule>
          <x14:cfRule type="expression" priority="124" id="{2E069FA3-E4C8-0949-8152-30524245C9A8}">
            <xm:f>OR(Marts!$C15="Orlov")</xm:f>
            <x14:dxf>
              <font>
                <color theme="0"/>
              </font>
              <fill>
                <patternFill patternType="solid">
                  <bgColor theme="6" tint="-0.24994659260841701"/>
                </patternFill>
              </fill>
            </x14:dxf>
          </x14:cfRule>
          <x14:cfRule type="expression" priority="123" id="{9B5D8CD6-60DD-DB42-8E68-374FAF4020C6}">
            <xm:f>OR(Marts!$C15="Rul 6")</xm:f>
            <x14:dxf>
              <font>
                <color theme="0"/>
              </font>
              <fill>
                <patternFill patternType="solid">
                  <bgColor theme="2" tint="-0.89996032593768116"/>
                </patternFill>
              </fill>
            </x14:dxf>
          </x14:cfRule>
          <x14:cfRule type="expression" priority="122" id="{FDAC65BC-1EF6-5848-BAF9-664E7EBCFFA1}">
            <xm:f>OR(Marts!$C15="Rul 5")</xm:f>
            <x14:dxf>
              <font>
                <color theme="0"/>
              </font>
              <fill>
                <patternFill patternType="solid">
                  <bgColor theme="2" tint="-0.749961851863155"/>
                </patternFill>
              </fill>
            </x14:dxf>
          </x14:cfRule>
          <x14:cfRule type="expression" priority="121" id="{43F970AC-8358-E84F-9781-AB772CBE1754}">
            <xm:f>OR(Marts!$C15="Rul 4")</xm:f>
            <x14:dxf>
              <font>
                <color theme="1"/>
              </font>
              <fill>
                <patternFill patternType="solid">
                  <bgColor theme="2" tint="-0.499984740745262"/>
                </patternFill>
              </fill>
            </x14:dxf>
          </x14:cfRule>
          <x14:cfRule type="expression" priority="9" id="{540E55ED-B46E-8248-9CF3-6151DD131C03}">
            <xm:f>OR(Marts!$C15="Normal uge 6")</xm:f>
            <x14:dxf>
              <font>
                <color theme="0"/>
              </font>
              <fill>
                <patternFill patternType="solid">
                  <bgColor theme="9" tint="-0.499984740745262"/>
                </patternFill>
              </fill>
            </x14:dxf>
          </x14:cfRule>
          <x14:cfRule type="expression" priority="135" id="{57D60D09-5AC5-404E-B9B6-E98834376661}">
            <xm:f>OR(Marts!$C15="Anderledes dag")</xm:f>
            <x14:dxf>
              <font>
                <color theme="1"/>
              </font>
              <fill>
                <patternFill>
                  <bgColor theme="5" tint="0.59996337778862885"/>
                </patternFill>
              </fill>
            </x14:dxf>
          </x14:cfRule>
          <xm:sqref>F3:J33</xm:sqref>
        </x14:conditionalFormatting>
        <x14:conditionalFormatting xmlns:xm="http://schemas.microsoft.com/office/excel/2006/main">
          <x14:cfRule type="expression" priority="98" id="{0AB2D5CB-AC8E-7042-9886-6FF9931ED2F0}">
            <xm:f>OR(April!$C15="Rul 2")</xm:f>
            <x14:dxf>
              <font>
                <color theme="1"/>
              </font>
              <fill>
                <patternFill patternType="solid">
                  <bgColor theme="2" tint="-9.9948118533890809E-2"/>
                </patternFill>
              </fill>
            </x14:dxf>
          </x14:cfRule>
          <x14:cfRule type="expression" priority="8" stopIfTrue="1" id="{AAF32CDD-6578-A447-AFED-145A17188A62}">
            <xm:f>OR(April!$C15="Normal uge 5")</xm:f>
            <x14:dxf>
              <font>
                <color theme="0"/>
              </font>
              <fill>
                <patternFill patternType="solid">
                  <bgColor theme="9" tint="-0.24994659260841701"/>
                </patternFill>
              </fill>
            </x14:dxf>
          </x14:cfRule>
          <x14:cfRule type="expression" priority="100" id="{0ADDDF14-8AFA-D94B-B542-F7F6917F92E7}">
            <xm:f>OR(April!$C15="Rul 4")</xm:f>
            <x14:dxf>
              <font>
                <color theme="1"/>
              </font>
              <fill>
                <patternFill patternType="solid">
                  <bgColor theme="2" tint="-0.499984740745262"/>
                </patternFill>
              </fill>
            </x14:dxf>
          </x14:cfRule>
          <x14:cfRule type="expression" priority="101" id="{5A513DA4-0D4F-0F4C-BFF3-FE344865BCEE}">
            <xm:f>OR(April!$C15="Rul 5")</xm:f>
            <x14:dxf>
              <font>
                <color theme="0"/>
              </font>
              <fill>
                <patternFill patternType="solid">
                  <bgColor theme="2" tint="-0.749961851863155"/>
                </patternFill>
              </fill>
            </x14:dxf>
          </x14:cfRule>
          <x14:cfRule type="expression" priority="102" id="{F86B8A99-D390-EA40-9AAF-C7FFC7437516}">
            <xm:f>OR(April!$C15="Rul 6")</xm:f>
            <x14:dxf>
              <font>
                <color theme="0"/>
              </font>
              <fill>
                <patternFill patternType="solid">
                  <bgColor theme="2" tint="-0.89996032593768116"/>
                </patternFill>
              </fill>
            </x14:dxf>
          </x14:cfRule>
          <x14:cfRule type="expression" priority="103" id="{1BB89180-2A3D-F84F-BA2E-C1B7D6C6FBBA}">
            <xm:f>OR(April!$C15="Orlov")</xm:f>
            <x14:dxf>
              <font>
                <color theme="0"/>
              </font>
              <fill>
                <patternFill patternType="solid">
                  <bgColor theme="6" tint="-0.24994659260841701"/>
                </patternFill>
              </fill>
            </x14:dxf>
          </x14:cfRule>
          <x14:cfRule type="expression" priority="104" id="{7CC86ADA-CC9C-1548-ADB6-EEAED055A59E}">
            <xm:f>OR(April!$C15="Normal uge 1")</xm:f>
            <x14:dxf>
              <font>
                <color theme="1"/>
              </font>
              <fill>
                <patternFill patternType="solid">
                  <bgColor theme="4" tint="0.79998168889431442"/>
                </patternFill>
              </fill>
            </x14:dxf>
          </x14:cfRule>
          <x14:cfRule type="expression" priority="105" id="{706C446D-1559-5E46-A1E3-60D947476DEA}">
            <xm:f>OR(April!$C15="Normal uge 2")</xm:f>
            <x14:dxf>
              <font>
                <color theme="1"/>
              </font>
              <fill>
                <patternFill patternType="solid">
                  <bgColor theme="4" tint="0.59996337778862885"/>
                </patternFill>
              </fill>
            </x14:dxf>
          </x14:cfRule>
          <x14:cfRule type="expression" priority="106" id="{4938938B-9F31-154E-90CB-50663BFD77EC}">
            <xm:f>OR(April!$C15="Normal uge 3")</xm:f>
            <x14:dxf>
              <font>
                <color theme="0"/>
              </font>
              <fill>
                <patternFill patternType="solid">
                  <bgColor theme="4" tint="0.39994506668294322"/>
                </patternFill>
              </fill>
            </x14:dxf>
          </x14:cfRule>
          <x14:cfRule type="expression" priority="107" id="{9A79D821-AD26-8F4F-A3FB-CEB7675DF3B3}">
            <xm:f>OR(April!$C15="Ikke relevant")</xm:f>
            <x14:dxf>
              <font>
                <color theme="0"/>
              </font>
              <fill>
                <patternFill>
                  <bgColor theme="1"/>
                </patternFill>
              </fill>
            </x14:dxf>
          </x14:cfRule>
          <x14:cfRule type="expression" priority="108" id="{72D3CD5E-FA99-0D45-A721-95A0AE7867A8}">
            <xm:f>OR(April!$C15="Normal uge 4")</xm:f>
            <x14:dxf>
              <font>
                <color theme="0"/>
              </font>
              <fill>
                <patternFill patternType="solid">
                  <bgColor theme="4" tint="-0.24994659260841701"/>
                </patternFill>
              </fill>
            </x14:dxf>
          </x14:cfRule>
          <x14:cfRule type="expression" priority="109" id="{3B9D7796-24EB-254A-878B-360F080C5491}">
            <xm:f>OR(April!$C15="pæd.dag")</xm:f>
            <x14:dxf>
              <font>
                <color theme="1"/>
              </font>
              <fill>
                <patternFill>
                  <bgColor theme="7" tint="0.39994506668294322"/>
                </patternFill>
              </fill>
            </x14:dxf>
          </x14:cfRule>
          <x14:cfRule type="expression" priority="110" id="{EFF8828C-FF0F-4F48-A13D-93C878B99604}">
            <xm:f>OR(April!$C15="SH-dag")</xm:f>
            <x14:dxf>
              <font>
                <color theme="1"/>
              </font>
              <fill>
                <patternFill>
                  <bgColor rgb="FFFF2F82"/>
                </patternFill>
              </fill>
            </x14:dxf>
          </x14:cfRule>
          <x14:cfRule type="expression" priority="111" id="{3ED998C9-B6F0-5542-ACD7-A66FF507246E}">
            <xm:f>OR(April!$C15="Nul-dag")</xm:f>
            <x14:dxf>
              <font>
                <color theme="1"/>
              </font>
              <fill>
                <patternFill>
                  <bgColor theme="5" tint="0.79998168889431442"/>
                </patternFill>
              </fill>
            </x14:dxf>
          </x14:cfRule>
          <x14:cfRule type="expression" priority="112" id="{D06AB154-ABBA-F445-96AE-472D286DA6D9}">
            <xm:f>OR(April!$C15="ekskursion")</xm:f>
            <x14:dxf>
              <font>
                <color theme="1"/>
              </font>
              <fill>
                <patternFill>
                  <bgColor rgb="FFFFFF00"/>
                </patternFill>
              </fill>
            </x14:dxf>
          </x14:cfRule>
          <x14:cfRule type="expression" priority="113" id="{406DD2FC-DE58-2F48-BDE1-493B5B3F8521}">
            <xm:f>OR(April!$C15="Koloni")</xm:f>
            <x14:dxf>
              <font>
                <color theme="1"/>
              </font>
              <fill>
                <patternFill>
                  <bgColor theme="8" tint="0.59996337778862885"/>
                </patternFill>
              </fill>
            </x14:dxf>
          </x14:cfRule>
          <x14:cfRule type="expression" priority="114" id="{74BD633B-152A-A441-B87C-CC71FD6EAE5E}">
            <xm:f>OR(April!$C15="Anderledes dag")</xm:f>
            <x14:dxf>
              <font>
                <color theme="1"/>
              </font>
              <fill>
                <patternFill>
                  <bgColor theme="5" tint="0.59996337778862885"/>
                </patternFill>
              </fill>
            </x14:dxf>
          </x14:cfRule>
          <x14:cfRule type="expression" priority="115" id="{70DC06EA-3AF8-AC4D-9C85-83DCF35EECBF}">
            <xm:f>OR(April!$C15="ferieåbning")</xm:f>
            <x14:dxf>
              <font>
                <color theme="1"/>
              </font>
              <fill>
                <patternFill>
                  <bgColor theme="9" tint="0.59996337778862885"/>
                </patternFill>
              </fill>
            </x14:dxf>
          </x14:cfRule>
          <x14:cfRule type="expression" priority="116" id="{CDF93760-313F-D74B-928A-464B06363CA8}">
            <xm:f>OR(April!$C15="feriedag")</xm:f>
            <x14:dxf>
              <font>
                <color theme="1"/>
              </font>
              <fill>
                <patternFill>
                  <bgColor theme="6" tint="0.39994506668294322"/>
                </patternFill>
              </fill>
            </x14:dxf>
          </x14:cfRule>
          <x14:cfRule type="expression" priority="117" id="{B4267ABE-6AB4-8C47-94DF-15120E968A10}">
            <xm:f>OR(April!$C15="weekend")</xm:f>
            <x14:dxf>
              <font>
                <color theme="1"/>
              </font>
              <fill>
                <patternFill>
                  <bgColor theme="0" tint="-0.14996795556505021"/>
                </patternFill>
              </fill>
            </x14:dxf>
          </x14:cfRule>
          <x14:cfRule type="expression" priority="97" id="{67A679DE-57AE-8A4C-8FF0-B2E301741747}">
            <xm:f>OR(April!$C15="Rul 1")</xm:f>
            <x14:dxf>
              <font>
                <color theme="1"/>
              </font>
              <fill>
                <patternFill patternType="solid">
                  <bgColor theme="2"/>
                </patternFill>
              </fill>
            </x14:dxf>
          </x14:cfRule>
          <x14:cfRule type="expression" priority="7" stopIfTrue="1" id="{FBC8933C-C97E-AA42-9512-44AE33E0B49E}">
            <xm:f>OR(April!$C15="Normal uge 6")</xm:f>
            <x14:dxf>
              <font>
                <color theme="0"/>
              </font>
              <fill>
                <patternFill patternType="solid">
                  <bgColor theme="9" tint="-0.499984740745262"/>
                </patternFill>
              </fill>
            </x14:dxf>
          </x14:cfRule>
          <x14:cfRule type="expression" priority="99" id="{E093FA4D-B3A1-6F48-B164-7A43CFFA7F27}">
            <xm:f>OR(April!$C15="Rul 3")</xm:f>
            <x14:dxf>
              <font>
                <color theme="1"/>
              </font>
              <fill>
                <patternFill patternType="solid">
                  <bgColor theme="2" tint="-0.24994659260841701"/>
                </patternFill>
              </fill>
            </x14:dxf>
          </x14:cfRule>
          <xm:sqref>K3:O32</xm:sqref>
        </x14:conditionalFormatting>
        <x14:conditionalFormatting xmlns:xm="http://schemas.microsoft.com/office/excel/2006/main">
          <x14:cfRule type="expression" priority="75" id="{FE09DCC4-02C1-6846-84A7-80707E87025B}">
            <xm:f>OR(Maj!$C15="weekend")</xm:f>
            <x14:dxf>
              <font>
                <color theme="1"/>
              </font>
              <fill>
                <patternFill>
                  <bgColor theme="0" tint="-0.14996795556505021"/>
                </patternFill>
              </fill>
            </x14:dxf>
          </x14:cfRule>
          <x14:cfRule type="expression" priority="6" id="{C13A34E7-CDC7-BB48-A662-8920CC1825C7}">
            <xm:f>OR(Maj!$C15="Normal uge 5")</xm:f>
            <x14:dxf>
              <font>
                <color theme="0"/>
              </font>
              <fill>
                <patternFill patternType="solid">
                  <bgColor theme="9" tint="-0.24994659260841701"/>
                </patternFill>
              </fill>
            </x14:dxf>
          </x14:cfRule>
          <x14:cfRule type="expression" priority="74" id="{A51F41BA-4AF4-3E4F-9E9E-2A86DF5116E5}">
            <xm:f>OR(Maj!$C15="feriedag")</xm:f>
            <x14:dxf>
              <font>
                <color theme="1"/>
              </font>
              <fill>
                <patternFill>
                  <bgColor theme="6" tint="0.39994506668294322"/>
                </patternFill>
              </fill>
            </x14:dxf>
          </x14:cfRule>
          <x14:cfRule type="expression" priority="72" id="{2B7EE0DB-6387-A049-99C3-DAEAEE8661ED}">
            <xm:f>OR(Maj!$C15="Anderledes dag")</xm:f>
            <x14:dxf>
              <font>
                <color theme="1"/>
              </font>
              <fill>
                <patternFill>
                  <bgColor theme="5" tint="0.59996337778862885"/>
                </patternFill>
              </fill>
            </x14:dxf>
          </x14:cfRule>
          <x14:cfRule type="expression" priority="71" id="{67C6714F-B795-0241-8F9C-CB603896A420}">
            <xm:f>OR(Maj!$C15="Koloni")</xm:f>
            <x14:dxf>
              <font>
                <color theme="1"/>
              </font>
              <fill>
                <patternFill>
                  <bgColor theme="8" tint="0.59996337778862885"/>
                </patternFill>
              </fill>
            </x14:dxf>
          </x14:cfRule>
          <x14:cfRule type="expression" priority="70" id="{E06F4F52-3F29-8840-B236-3F52510E659C}">
            <xm:f>OR(Maj!$C15="ekskursion")</xm:f>
            <x14:dxf>
              <font>
                <color theme="1"/>
              </font>
              <fill>
                <patternFill>
                  <bgColor rgb="FFFFFF00"/>
                </patternFill>
              </fill>
            </x14:dxf>
          </x14:cfRule>
          <x14:cfRule type="expression" priority="69" id="{E17CFDA9-1DCC-BC4E-9E09-FBC2DED1A441}">
            <xm:f>OR(Maj!$C15="Nul-dag")</xm:f>
            <x14:dxf>
              <font>
                <color theme="1"/>
              </font>
              <fill>
                <patternFill>
                  <bgColor theme="5" tint="0.79998168889431442"/>
                </patternFill>
              </fill>
            </x14:dxf>
          </x14:cfRule>
          <x14:cfRule type="expression" priority="68" id="{11521035-CF7A-E44A-9358-1F05B1B8832A}">
            <xm:f>OR(Maj!$C15="SH-dag")</xm:f>
            <x14:dxf>
              <font>
                <color theme="1"/>
              </font>
              <fill>
                <patternFill>
                  <bgColor rgb="FFFF2F82"/>
                </patternFill>
              </fill>
            </x14:dxf>
          </x14:cfRule>
          <x14:cfRule type="expression" priority="67" id="{31870A18-2258-B04B-8451-8A1A5394BC49}">
            <xm:f>OR(Maj!$C15="pæd.dag")</xm:f>
            <x14:dxf>
              <font>
                <color theme="1"/>
              </font>
              <fill>
                <patternFill>
                  <bgColor theme="7" tint="0.39994506668294322"/>
                </patternFill>
              </fill>
            </x14:dxf>
          </x14:cfRule>
          <x14:cfRule type="expression" priority="66" id="{E3C02CF8-39F8-8749-9ACC-7A9406444832}">
            <xm:f>OR(Maj!$C15="Normal uge 4")</xm:f>
            <x14:dxf>
              <font>
                <color theme="0"/>
              </font>
              <fill>
                <patternFill patternType="solid">
                  <bgColor theme="4" tint="-0.24994659260841701"/>
                </patternFill>
              </fill>
            </x14:dxf>
          </x14:cfRule>
          <x14:cfRule type="expression" priority="65" id="{836DC054-83E3-A643-B6F5-09367D356CED}">
            <xm:f>OR(Maj!$C15="Ikke relevant")</xm:f>
            <x14:dxf>
              <font>
                <color theme="0"/>
              </font>
              <fill>
                <patternFill>
                  <bgColor theme="1"/>
                </patternFill>
              </fill>
            </x14:dxf>
          </x14:cfRule>
          <x14:cfRule type="expression" priority="64" id="{A1D3B851-F9A3-3E4F-B277-804E2E53CA9A}">
            <xm:f>OR(Maj!$C15="Normal uge 3")</xm:f>
            <x14:dxf>
              <font>
                <color theme="0"/>
              </font>
              <fill>
                <patternFill patternType="solid">
                  <bgColor theme="4" tint="0.39994506668294322"/>
                </patternFill>
              </fill>
            </x14:dxf>
          </x14:cfRule>
          <x14:cfRule type="expression" priority="63" id="{32DEE193-5217-004F-A6A6-CD4287526CEB}">
            <xm:f>OR(Maj!$C15="Normal uge 2")</xm:f>
            <x14:dxf>
              <font>
                <color theme="1"/>
              </font>
              <fill>
                <patternFill patternType="solid">
                  <bgColor theme="4" tint="0.59996337778862885"/>
                </patternFill>
              </fill>
            </x14:dxf>
          </x14:cfRule>
          <x14:cfRule type="expression" priority="62" id="{316DEE25-E707-1945-B7BA-5ED52A325E77}">
            <xm:f>OR(Maj!$C15="Normal uge 1")</xm:f>
            <x14:dxf>
              <font>
                <color theme="1"/>
              </font>
              <fill>
                <patternFill patternType="solid">
                  <bgColor theme="4" tint="0.79998168889431442"/>
                </patternFill>
              </fill>
            </x14:dxf>
          </x14:cfRule>
          <x14:cfRule type="expression" priority="61" id="{DEBBA746-1162-C547-822F-17B1D0EB937C}">
            <xm:f>OR(Maj!$C15="Orlov")</xm:f>
            <x14:dxf>
              <font>
                <color theme="0"/>
              </font>
              <fill>
                <patternFill patternType="solid">
                  <bgColor theme="6" tint="-0.24994659260841701"/>
                </patternFill>
              </fill>
            </x14:dxf>
          </x14:cfRule>
          <x14:cfRule type="expression" priority="60" id="{7FEF3669-E404-7549-8D77-F812A330AEB5}">
            <xm:f>OR(Maj!$C15="Rul 6")</xm:f>
            <x14:dxf>
              <font>
                <color theme="0"/>
              </font>
              <fill>
                <patternFill patternType="solid">
                  <bgColor theme="2" tint="-0.89996032593768116"/>
                </patternFill>
              </fill>
            </x14:dxf>
          </x14:cfRule>
          <x14:cfRule type="expression" priority="59" id="{BB6B8E1C-3F83-CF45-AE8D-CCC45F590636}">
            <xm:f>OR(Maj!$C15="Rul 5")</xm:f>
            <x14:dxf>
              <font>
                <color theme="0"/>
              </font>
              <fill>
                <patternFill patternType="solid">
                  <bgColor theme="2" tint="-0.749961851863155"/>
                </patternFill>
              </fill>
            </x14:dxf>
          </x14:cfRule>
          <x14:cfRule type="expression" priority="58" id="{15035FD3-33B4-E84F-A3E5-8EDA3EA88CF6}">
            <xm:f>OR(Maj!$C15="Rul 4")</xm:f>
            <x14:dxf>
              <font>
                <color theme="1"/>
              </font>
              <fill>
                <patternFill patternType="solid">
                  <bgColor theme="2" tint="-0.499984740745262"/>
                </patternFill>
              </fill>
            </x14:dxf>
          </x14:cfRule>
          <x14:cfRule type="expression" priority="57" id="{5059EA38-540D-0441-9E8D-92D1E535B8BA}">
            <xm:f>OR(Maj!$C15="Rul 3")</xm:f>
            <x14:dxf>
              <font>
                <color theme="1"/>
              </font>
              <fill>
                <patternFill patternType="solid">
                  <bgColor theme="2" tint="-0.24994659260841701"/>
                </patternFill>
              </fill>
            </x14:dxf>
          </x14:cfRule>
          <x14:cfRule type="expression" priority="56" id="{422B1BF9-9D9B-2948-A904-9B06CD63B8A0}">
            <xm:f>OR(Maj!$C15="Rul 2")</xm:f>
            <x14:dxf>
              <font>
                <color theme="1"/>
              </font>
              <fill>
                <patternFill patternType="solid">
                  <bgColor theme="2" tint="-9.9948118533890809E-2"/>
                </patternFill>
              </fill>
            </x14:dxf>
          </x14:cfRule>
          <x14:cfRule type="expression" priority="55" id="{F02AD66D-3E11-D744-97AD-00C04ECA0C11}">
            <xm:f>OR(Maj!$C15="Rul 1")</xm:f>
            <x14:dxf>
              <font>
                <color theme="1"/>
              </font>
              <fill>
                <patternFill patternType="solid">
                  <bgColor theme="2"/>
                </patternFill>
              </fill>
            </x14:dxf>
          </x14:cfRule>
          <x14:cfRule type="expression" priority="5" id="{6CF9E579-B65B-B445-B96C-B118D7926AD0}">
            <xm:f>OR(Maj!$C15="Normal uge 6")</xm:f>
            <x14:dxf>
              <font>
                <color theme="0"/>
              </font>
              <fill>
                <patternFill patternType="solid">
                  <bgColor theme="9" tint="-0.499984740745262"/>
                </patternFill>
              </fill>
            </x14:dxf>
          </x14:cfRule>
          <x14:cfRule type="expression" priority="73" id="{44F419CE-9E71-D54B-B758-FD3409D66B24}">
            <xm:f>OR(Maj!$C15="ferieåbning")</xm:f>
            <x14:dxf>
              <font>
                <color theme="1"/>
              </font>
              <fill>
                <patternFill>
                  <bgColor theme="9" tint="0.59996337778862885"/>
                </patternFill>
              </fill>
            </x14:dxf>
          </x14:cfRule>
          <xm:sqref>P3:T33</xm:sqref>
        </x14:conditionalFormatting>
        <x14:conditionalFormatting xmlns:xm="http://schemas.microsoft.com/office/excel/2006/main">
          <x14:cfRule type="expression" priority="40" id="{C558B157-B072-1240-BFF2-E0E0FE4BEAC6}">
            <xm:f>OR(Juni!$C15="Orlov")</xm:f>
            <x14:dxf>
              <font>
                <color theme="0"/>
              </font>
              <fill>
                <patternFill patternType="solid">
                  <bgColor theme="6" tint="-0.24994659260841701"/>
                </patternFill>
              </fill>
            </x14:dxf>
          </x14:cfRule>
          <x14:cfRule type="expression" priority="51" id="{4EDAEFF2-71F5-1D4E-8809-09A4120368C2}">
            <xm:f>OR(Juni!$C15="Anderledes dag")</xm:f>
            <x14:dxf>
              <font>
                <color theme="1"/>
              </font>
              <fill>
                <patternFill>
                  <bgColor theme="5" tint="0.59996337778862885"/>
                </patternFill>
              </fill>
            </x14:dxf>
          </x14:cfRule>
          <x14:cfRule type="expression" priority="47" id="{8502DA7D-4DDF-0648-A0A2-D328F7CB1E24}">
            <xm:f>OR(Juni!$C15="SH-dag")</xm:f>
            <x14:dxf>
              <font>
                <color theme="1"/>
              </font>
              <fill>
                <patternFill>
                  <bgColor rgb="FFFF2F82"/>
                </patternFill>
              </fill>
            </x14:dxf>
          </x14:cfRule>
          <x14:cfRule type="expression" priority="46" id="{2D2E15D3-B725-6D43-BA13-4704B93BF57E}">
            <xm:f>OR(Juni!$C15="pæd.dag")</xm:f>
            <x14:dxf>
              <font>
                <color theme="1"/>
              </font>
              <fill>
                <patternFill>
                  <bgColor theme="7" tint="0.39994506668294322"/>
                </patternFill>
              </fill>
            </x14:dxf>
          </x14:cfRule>
          <x14:cfRule type="expression" priority="45" id="{A1968C25-7312-F340-91E9-2AE2A1070FFF}">
            <xm:f>OR(Juni!$C15="Normal uge 4")</xm:f>
            <x14:dxf>
              <font>
                <color theme="0"/>
              </font>
              <fill>
                <patternFill patternType="solid">
                  <bgColor theme="4" tint="-0.24994659260841701"/>
                </patternFill>
              </fill>
            </x14:dxf>
          </x14:cfRule>
          <x14:cfRule type="expression" priority="44" id="{F21E6558-896A-2248-8328-085EA3201D5C}">
            <xm:f>OR(Juni!$C15="Ikke relevant")</xm:f>
            <x14:dxf>
              <font>
                <color theme="0"/>
              </font>
              <fill>
                <patternFill>
                  <bgColor theme="1"/>
                </patternFill>
              </fill>
            </x14:dxf>
          </x14:cfRule>
          <x14:cfRule type="expression" priority="43" id="{5670E5D8-A10D-B446-AD0A-3C30CB4E0C75}">
            <xm:f>OR(Juni!$C15="Normal uge 3")</xm:f>
            <x14:dxf>
              <font>
                <color theme="0"/>
              </font>
              <fill>
                <patternFill patternType="solid">
                  <bgColor theme="4" tint="0.39994506668294322"/>
                </patternFill>
              </fill>
            </x14:dxf>
          </x14:cfRule>
          <x14:cfRule type="expression" priority="42" id="{CDDA2921-6C35-7740-9F84-9098708CB680}">
            <xm:f>OR(Juni!$C15="Normal uge 2")</xm:f>
            <x14:dxf>
              <font>
                <color theme="1"/>
              </font>
              <fill>
                <patternFill patternType="solid">
                  <bgColor theme="4" tint="0.59996337778862885"/>
                </patternFill>
              </fill>
            </x14:dxf>
          </x14:cfRule>
          <x14:cfRule type="expression" priority="41" id="{9CDD268A-C081-3D4B-BD24-147BE31F306C}">
            <xm:f>OR(Juni!$C15="Normal uge 1")</xm:f>
            <x14:dxf>
              <font>
                <color theme="1"/>
              </font>
              <fill>
                <patternFill patternType="solid">
                  <bgColor theme="4" tint="0.79998168889431442"/>
                </patternFill>
              </fill>
            </x14:dxf>
          </x14:cfRule>
          <x14:cfRule type="expression" priority="49" id="{EC9F33F3-F2DB-8E45-B70B-57AF64465417}">
            <xm:f>OR(Juni!$C15="ekskursion")</xm:f>
            <x14:dxf>
              <font>
                <color theme="1"/>
              </font>
              <fill>
                <patternFill>
                  <bgColor rgb="FFFFFF00"/>
                </patternFill>
              </fill>
            </x14:dxf>
          </x14:cfRule>
          <x14:cfRule type="expression" priority="3" id="{D27D69E6-1CC5-F84B-821E-CE67568F7820}">
            <xm:f>OR(Juni!$C15="Normal uge 6")</xm:f>
            <x14:dxf>
              <font>
                <color theme="0"/>
              </font>
              <fill>
                <patternFill patternType="solid">
                  <bgColor theme="9" tint="-0.499984740745262"/>
                </patternFill>
              </fill>
            </x14:dxf>
          </x14:cfRule>
          <x14:cfRule type="expression" priority="4" stopIfTrue="1" id="{506ECFF8-20F9-ED4E-8758-FEA2BF14627A}">
            <xm:f>OR(Juni!$C15="Normal uge 5")</xm:f>
            <x14:dxf>
              <font>
                <color theme="0"/>
              </font>
              <fill>
                <patternFill patternType="solid">
                  <bgColor theme="9" tint="-0.24994659260841701"/>
                </patternFill>
              </fill>
            </x14:dxf>
          </x14:cfRule>
          <x14:cfRule type="expression" priority="50" id="{CD370624-5218-FD4C-85BC-72B693DB357E}">
            <xm:f>OR(Juni!$C15="Koloni")</xm:f>
            <x14:dxf>
              <font>
                <color theme="1"/>
              </font>
              <fill>
                <patternFill>
                  <bgColor theme="8" tint="0.59996337778862885"/>
                </patternFill>
              </fill>
            </x14:dxf>
          </x14:cfRule>
          <x14:cfRule type="expression" priority="39" id="{5C1EEE08-865D-F449-B9C3-092EAA48B3F4}">
            <xm:f>OR(Juni!$C15="Rul 6")</xm:f>
            <x14:dxf>
              <font>
                <color theme="0"/>
              </font>
              <fill>
                <patternFill patternType="solid">
                  <bgColor theme="2" tint="-0.89996032593768116"/>
                </patternFill>
              </fill>
            </x14:dxf>
          </x14:cfRule>
          <x14:cfRule type="expression" priority="38" id="{B035ED9B-1CF8-3947-94ED-95CF51F9D967}">
            <xm:f>OR(Juni!$C15="Rul 5")</xm:f>
            <x14:dxf>
              <font>
                <color theme="0"/>
              </font>
              <fill>
                <patternFill patternType="solid">
                  <bgColor theme="2" tint="-0.749961851863155"/>
                </patternFill>
              </fill>
            </x14:dxf>
          </x14:cfRule>
          <x14:cfRule type="expression" priority="37" id="{1A913647-3CDE-7A47-B801-73B5C81CD175}">
            <xm:f>OR(Juni!$C15="Rul 4")</xm:f>
            <x14:dxf>
              <font>
                <color theme="1"/>
              </font>
              <fill>
                <patternFill patternType="solid">
                  <bgColor theme="2" tint="-0.499984740745262"/>
                </patternFill>
              </fill>
            </x14:dxf>
          </x14:cfRule>
          <x14:cfRule type="expression" priority="54" id="{7AB709CA-A0DE-9C4B-997A-276E265CE5A0}">
            <xm:f>OR(Juni!$C15="weekend")</xm:f>
            <x14:dxf>
              <font>
                <color theme="1"/>
              </font>
              <fill>
                <patternFill>
                  <bgColor theme="0" tint="-0.14996795556505021"/>
                </patternFill>
              </fill>
            </x14:dxf>
          </x14:cfRule>
          <x14:cfRule type="expression" priority="53" id="{D8B0AC51-65DB-0340-9C0E-3BDFC8BC626B}">
            <xm:f>OR(Juni!$C15="feriedag")</xm:f>
            <x14:dxf>
              <font>
                <color theme="1"/>
              </font>
              <fill>
                <patternFill>
                  <bgColor theme="6" tint="0.39994506668294322"/>
                </patternFill>
              </fill>
            </x14:dxf>
          </x14:cfRule>
          <x14:cfRule type="expression" priority="34" id="{6FF4CA1F-89EC-1E4D-A763-8C4F7C270373}">
            <xm:f>OR(Juni!$C15="Rul 1")</xm:f>
            <x14:dxf>
              <font>
                <color theme="1"/>
              </font>
              <fill>
                <patternFill patternType="solid">
                  <bgColor theme="2"/>
                </patternFill>
              </fill>
            </x14:dxf>
          </x14:cfRule>
          <x14:cfRule type="expression" priority="35" id="{3979609B-E9DD-CE43-99DA-CFC95A3343B9}">
            <xm:f>OR(Juni!$C15="Rul 2")</xm:f>
            <x14:dxf>
              <font>
                <color theme="1"/>
              </font>
              <fill>
                <patternFill patternType="solid">
                  <bgColor theme="2" tint="-9.9948118533890809E-2"/>
                </patternFill>
              </fill>
            </x14:dxf>
          </x14:cfRule>
          <x14:cfRule type="expression" priority="36" id="{A3A15D3A-6D2A-A543-A871-D6E06E0A2C3C}">
            <xm:f>OR(Juni!$C15="Rul 3")</xm:f>
            <x14:dxf>
              <font>
                <color theme="1"/>
              </font>
              <fill>
                <patternFill patternType="solid">
                  <bgColor theme="2" tint="-0.24994659260841701"/>
                </patternFill>
              </fill>
            </x14:dxf>
          </x14:cfRule>
          <x14:cfRule type="expression" priority="52" id="{3227FD30-5598-0548-A33E-F47BB0FE2F1D}">
            <xm:f>OR(Juni!$C15="ferieåbning")</xm:f>
            <x14:dxf>
              <font>
                <color theme="1"/>
              </font>
              <fill>
                <patternFill>
                  <bgColor theme="9" tint="0.59996337778862885"/>
                </patternFill>
              </fill>
            </x14:dxf>
          </x14:cfRule>
          <x14:cfRule type="expression" priority="48" id="{04B7E49E-437D-344C-8430-B9326FF81575}">
            <xm:f>OR(Juni!$C15="Nul-dag")</xm:f>
            <x14:dxf>
              <font>
                <color theme="1"/>
              </font>
              <fill>
                <patternFill>
                  <bgColor theme="5" tint="0.79998168889431442"/>
                </patternFill>
              </fill>
            </x14:dxf>
          </x14:cfRule>
          <xm:sqref>U3:Y32</xm:sqref>
        </x14:conditionalFormatting>
        <x14:conditionalFormatting xmlns:xm="http://schemas.microsoft.com/office/excel/2006/main">
          <x14:cfRule type="expression" priority="1" stopIfTrue="1" id="{17F57240-A8B4-5845-B50A-723DE8CDD2FB}">
            <xm:f>OR(Juli!$C15="Normal uge 6")</xm:f>
            <x14:dxf>
              <font>
                <color theme="0"/>
              </font>
              <fill>
                <patternFill patternType="solid">
                  <bgColor theme="9" tint="-0.499984740745262"/>
                </patternFill>
              </fill>
            </x14:dxf>
          </x14:cfRule>
          <x14:cfRule type="expression" priority="21" id="{0C93D5BE-23BE-2B40-A9CB-43947140CFE5}">
            <xm:f>OR(Juli!$C15="Normal uge 2")</xm:f>
            <x14:dxf>
              <font>
                <color theme="1"/>
              </font>
              <fill>
                <patternFill patternType="solid">
                  <bgColor theme="4" tint="0.59996337778862885"/>
                </patternFill>
              </fill>
            </x14:dxf>
          </x14:cfRule>
          <x14:cfRule type="expression" priority="2" stopIfTrue="1" id="{F297AD18-255F-8C4F-AF16-7D344C3B7801}">
            <xm:f>OR(Juli!$C15="Normal uge 5")</xm:f>
            <x14:dxf>
              <font>
                <color theme="0"/>
              </font>
              <fill>
                <patternFill patternType="solid">
                  <bgColor theme="9" tint="-0.24994659260841701"/>
                </patternFill>
              </fill>
            </x14:dxf>
          </x14:cfRule>
          <x14:cfRule type="expression" priority="13" id="{F18117B2-991F-AD42-B353-5F5D05D9D0FD}">
            <xm:f>OR(Juli!$C15="Rul 1")</xm:f>
            <x14:dxf>
              <font>
                <color theme="1"/>
              </font>
              <fill>
                <patternFill patternType="solid">
                  <bgColor theme="2"/>
                </patternFill>
              </fill>
            </x14:dxf>
          </x14:cfRule>
          <x14:cfRule type="expression" priority="14" id="{60D9E372-BEE1-FA4C-AF50-D30EDD67B1C8}">
            <xm:f>OR(Juli!$C15="Rul 2")</xm:f>
            <x14:dxf>
              <font>
                <color theme="1"/>
              </font>
              <fill>
                <patternFill patternType="solid">
                  <bgColor theme="2" tint="-9.9948118533890809E-2"/>
                </patternFill>
              </fill>
            </x14:dxf>
          </x14:cfRule>
          <x14:cfRule type="expression" priority="15" id="{8A8E4CFC-42FF-9047-82C5-BDABFA12AA1E}">
            <xm:f>OR(Juli!$C15="Rul 3")</xm:f>
            <x14:dxf>
              <font>
                <color theme="1"/>
              </font>
              <fill>
                <patternFill patternType="solid">
                  <bgColor theme="2" tint="-0.24994659260841701"/>
                </patternFill>
              </fill>
            </x14:dxf>
          </x14:cfRule>
          <x14:cfRule type="expression" priority="16" id="{6A9EBBC2-6B0F-294F-A46B-49FE7DEC97E2}">
            <xm:f>OR(Juli!$C15="Rul 4")</xm:f>
            <x14:dxf>
              <font>
                <color theme="1"/>
              </font>
              <fill>
                <patternFill patternType="solid">
                  <bgColor theme="2" tint="-0.499984740745262"/>
                </patternFill>
              </fill>
            </x14:dxf>
          </x14:cfRule>
          <x14:cfRule type="expression" priority="17" id="{C2C2E42A-9711-BB4D-8AA9-069A9E5FE5E5}">
            <xm:f>OR(Juli!$C15="Rul 5")</xm:f>
            <x14:dxf>
              <font>
                <color theme="0"/>
              </font>
              <fill>
                <patternFill patternType="solid">
                  <bgColor theme="2" tint="-0.749961851863155"/>
                </patternFill>
              </fill>
            </x14:dxf>
          </x14:cfRule>
          <x14:cfRule type="expression" priority="18" id="{44257946-F34B-3849-8E1C-CDF90334327E}">
            <xm:f>OR(Juli!$C15="Rul 6")</xm:f>
            <x14:dxf>
              <font>
                <color theme="0"/>
              </font>
              <fill>
                <patternFill patternType="solid">
                  <bgColor theme="2" tint="-0.89996032593768116"/>
                </patternFill>
              </fill>
            </x14:dxf>
          </x14:cfRule>
          <x14:cfRule type="expression" priority="19" id="{22BA8D33-5A96-254D-82B5-955E985BA43F}">
            <xm:f>OR(Juli!$C15="Orlov")</xm:f>
            <x14:dxf>
              <font>
                <color theme="0"/>
              </font>
              <fill>
                <patternFill patternType="solid">
                  <bgColor theme="6" tint="-0.24994659260841701"/>
                </patternFill>
              </fill>
            </x14:dxf>
          </x14:cfRule>
          <x14:cfRule type="expression" priority="20" id="{EA004CB4-6802-F34F-B490-4DBE7C2E8223}">
            <xm:f>OR(Juli!$C15="Normal uge 1")</xm:f>
            <x14:dxf>
              <font>
                <color theme="1"/>
              </font>
              <fill>
                <patternFill patternType="solid">
                  <bgColor theme="4" tint="0.79998168889431442"/>
                </patternFill>
              </fill>
            </x14:dxf>
          </x14:cfRule>
          <x14:cfRule type="expression" priority="33" id="{6773B029-3B61-6C41-86F9-7566602D8FDD}">
            <xm:f>OR(Juli!$C15="weekend")</xm:f>
            <x14:dxf>
              <font>
                <color theme="1"/>
              </font>
              <fill>
                <patternFill>
                  <bgColor theme="0" tint="-0.14996795556505021"/>
                </patternFill>
              </fill>
            </x14:dxf>
          </x14:cfRule>
          <x14:cfRule type="expression" priority="32" id="{1BD3E0A4-5A2E-384E-9090-871AFA70EE8F}">
            <xm:f>OR(Juli!$C15="feriedag")</xm:f>
            <x14:dxf>
              <font>
                <color theme="1"/>
              </font>
              <fill>
                <patternFill>
                  <bgColor theme="6" tint="0.39994506668294322"/>
                </patternFill>
              </fill>
            </x14:dxf>
          </x14:cfRule>
          <x14:cfRule type="expression" priority="31" id="{457B33E1-19CB-6945-B8FC-66078131BE9C}">
            <xm:f>OR(Juli!$C15="ferieåbning")</xm:f>
            <x14:dxf>
              <font>
                <color theme="1"/>
              </font>
              <fill>
                <patternFill>
                  <bgColor theme="9" tint="0.59996337778862885"/>
                </patternFill>
              </fill>
            </x14:dxf>
          </x14:cfRule>
          <x14:cfRule type="expression" priority="30" id="{F42EEE11-57AA-2A44-BC5D-7117CBCEDDEB}">
            <xm:f>OR(Juli!$C15="Anderledes dag")</xm:f>
            <x14:dxf>
              <font>
                <color theme="1"/>
              </font>
              <fill>
                <patternFill>
                  <bgColor theme="5" tint="0.59996337778862885"/>
                </patternFill>
              </fill>
            </x14:dxf>
          </x14:cfRule>
          <x14:cfRule type="expression" priority="29" id="{B4EA48CF-9ADC-854F-94B0-B8C478A04A7B}">
            <xm:f>OR(Juli!$C15="Koloni")</xm:f>
            <x14:dxf>
              <font>
                <color theme="1"/>
              </font>
              <fill>
                <patternFill>
                  <bgColor theme="8" tint="0.59996337778862885"/>
                </patternFill>
              </fill>
            </x14:dxf>
          </x14:cfRule>
          <x14:cfRule type="expression" priority="28" id="{DE26873A-B27A-1146-853D-596F0AE85EA7}">
            <xm:f>OR(Juli!$C15="ekskursion")</xm:f>
            <x14:dxf>
              <font>
                <color theme="1"/>
              </font>
              <fill>
                <patternFill>
                  <bgColor rgb="FFFFFF00"/>
                </patternFill>
              </fill>
            </x14:dxf>
          </x14:cfRule>
          <x14:cfRule type="expression" priority="27" id="{2218E318-E67A-DA43-9A93-627A391C4E3E}">
            <xm:f>OR(Juli!$C15="Nul-dag")</xm:f>
            <x14:dxf>
              <font>
                <color theme="1"/>
              </font>
              <fill>
                <patternFill>
                  <bgColor theme="5" tint="0.79998168889431442"/>
                </patternFill>
              </fill>
            </x14:dxf>
          </x14:cfRule>
          <x14:cfRule type="expression" priority="26" id="{223A0F63-2D38-9241-8EDE-C66B3AAC227E}">
            <xm:f>OR(Juli!$C15="SH-dag")</xm:f>
            <x14:dxf>
              <font>
                <color theme="1"/>
              </font>
              <fill>
                <patternFill>
                  <bgColor rgb="FFFF2F82"/>
                </patternFill>
              </fill>
            </x14:dxf>
          </x14:cfRule>
          <x14:cfRule type="expression" priority="25" id="{13F4D8D4-1818-444C-B354-B1D46011D295}">
            <xm:f>OR(Juli!$C15="pæd.dag")</xm:f>
            <x14:dxf>
              <font>
                <color theme="1"/>
              </font>
              <fill>
                <patternFill>
                  <bgColor theme="7" tint="0.39994506668294322"/>
                </patternFill>
              </fill>
            </x14:dxf>
          </x14:cfRule>
          <x14:cfRule type="expression" priority="24" id="{21407D5D-F251-2142-9EB3-FCBCC6939337}">
            <xm:f>OR(Juli!$C15="Normal uge 4")</xm:f>
            <x14:dxf>
              <font>
                <color theme="0"/>
              </font>
              <fill>
                <patternFill patternType="solid">
                  <bgColor theme="4" tint="-0.24994659260841701"/>
                </patternFill>
              </fill>
            </x14:dxf>
          </x14:cfRule>
          <x14:cfRule type="expression" priority="23" id="{39ECFA8B-D5CF-8B41-BEA4-737BA7A66E5E}">
            <xm:f>OR(Juli!$C15="Ikke relevant")</xm:f>
            <x14:dxf>
              <font>
                <color theme="0"/>
              </font>
              <fill>
                <patternFill>
                  <bgColor theme="1"/>
                </patternFill>
              </fill>
            </x14:dxf>
          </x14:cfRule>
          <x14:cfRule type="expression" priority="22" id="{BF53C2E0-19A7-6749-9215-BC4F04B51918}">
            <xm:f>OR(Juli!$C15="Normal uge 3")</xm:f>
            <x14:dxf>
              <font>
                <color theme="0"/>
              </font>
              <fill>
                <patternFill patternType="solid">
                  <bgColor theme="4" tint="0.39994506668294322"/>
                </patternFill>
              </fill>
            </x14:dxf>
          </x14:cfRule>
          <xm:sqref>Z3:AD33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31"/>
  <sheetViews>
    <sheetView showZeros="0" workbookViewId="0">
      <selection activeCell="H3" sqref="H3"/>
    </sheetView>
  </sheetViews>
  <sheetFormatPr baseColWidth="10" defaultRowHeight="16"/>
  <cols>
    <col min="3" max="7" width="15.83203125" customWidth="1"/>
  </cols>
  <sheetData>
    <row r="1" spans="1:7" ht="32" customHeight="1">
      <c r="A1" s="844" t="str">
        <f>""&amp;'Normal uger'!A8&amp;""</f>
        <v xml:space="preserve">Normaluge 1 - </v>
      </c>
      <c r="B1" s="845"/>
      <c r="C1" s="845"/>
      <c r="D1" s="845"/>
      <c r="E1" s="845"/>
      <c r="F1" s="845"/>
      <c r="G1" s="846"/>
    </row>
    <row r="2" spans="1:7" ht="32" customHeight="1">
      <c r="A2" s="972" t="s">
        <v>114</v>
      </c>
      <c r="B2" s="973"/>
      <c r="C2" s="973"/>
      <c r="D2" s="1175">
        <f>'Normal uger'!F10</f>
        <v>0</v>
      </c>
      <c r="E2" s="1175"/>
      <c r="F2" s="1175">
        <f>'Normal uger'!J10</f>
        <v>0</v>
      </c>
      <c r="G2" s="1176"/>
    </row>
    <row r="3" spans="1:7" s="34" customFormat="1" ht="32" customHeight="1">
      <c r="A3" s="633" t="s">
        <v>55</v>
      </c>
      <c r="B3" s="153" t="s">
        <v>56</v>
      </c>
      <c r="C3" s="154" t="s">
        <v>31</v>
      </c>
      <c r="D3" s="154" t="s">
        <v>32</v>
      </c>
      <c r="E3" s="154" t="s">
        <v>33</v>
      </c>
      <c r="F3" s="154" t="s">
        <v>34</v>
      </c>
      <c r="G3" s="155" t="s">
        <v>35</v>
      </c>
    </row>
    <row r="4" spans="1:7" ht="20" customHeight="1">
      <c r="A4" s="634" t="str">
        <f>IF('Normal uger'!A14&gt;0,'Normal uger'!B14,"")</f>
        <v/>
      </c>
      <c r="B4" s="31" t="str">
        <f>IF('Normal uger'!A14&gt;0,'Normal uger'!C14,"")</f>
        <v/>
      </c>
      <c r="C4" s="26" t="str">
        <f>IF('Normal uger'!E14&gt;0,'Normal uger'!E14,"")</f>
        <v/>
      </c>
      <c r="D4" s="26" t="str">
        <f>IF('Normal uger'!G14&gt;0,'Normal uger'!G14,"")</f>
        <v/>
      </c>
      <c r="E4" s="26" t="str">
        <f>IF('Normal uger'!I14&gt;0,'Normal uger'!I14,"")</f>
        <v/>
      </c>
      <c r="F4" s="26" t="str">
        <f>IF('Normal uger'!K14&gt;0,'Normal uger'!K14,"")</f>
        <v/>
      </c>
      <c r="G4" s="635" t="str">
        <f>IF('Normal uger'!M14&gt;0,'Normal uger'!M14,"")</f>
        <v/>
      </c>
    </row>
    <row r="5" spans="1:7" ht="20" customHeight="1">
      <c r="A5" s="636" t="str">
        <f>IF('Normal uger'!A15&gt;0,'Normal uger'!B15,"")</f>
        <v/>
      </c>
      <c r="B5" s="32" t="str">
        <f>IF('Normal uger'!A15&gt;0,'Normal uger'!C15,"")</f>
        <v/>
      </c>
      <c r="C5" s="156" t="str">
        <f>IF('Normal uger'!E15&gt;0,'Normal uger'!E15,"")</f>
        <v/>
      </c>
      <c r="D5" s="156" t="str">
        <f>IF('Normal uger'!G15&gt;0,'Normal uger'!G15,"")</f>
        <v/>
      </c>
      <c r="E5" s="156" t="str">
        <f>IF('Normal uger'!I15&gt;0,'Normal uger'!I15,"")</f>
        <v/>
      </c>
      <c r="F5" s="156" t="str">
        <f>IF('Normal uger'!K15&gt;0,'Normal uger'!K15,"")</f>
        <v/>
      </c>
      <c r="G5" s="637" t="str">
        <f>IF('Normal uger'!M15&gt;0,'Normal uger'!M15,"")</f>
        <v/>
      </c>
    </row>
    <row r="6" spans="1:7" ht="20" customHeight="1">
      <c r="A6" s="634" t="str">
        <f>IF('Normal uger'!A16&gt;0,'Normal uger'!B16,"")</f>
        <v/>
      </c>
      <c r="B6" s="31" t="str">
        <f>IF('Normal uger'!A16&gt;0,'Normal uger'!C16,"")</f>
        <v/>
      </c>
      <c r="C6" s="26" t="str">
        <f>IF('Normal uger'!E16&gt;0,'Normal uger'!E16,"")</f>
        <v/>
      </c>
      <c r="D6" s="26" t="str">
        <f>IF('Normal uger'!G16&gt;0,'Normal uger'!G16,"")</f>
        <v/>
      </c>
      <c r="E6" s="26" t="str">
        <f>IF('Normal uger'!I16&gt;0,'Normal uger'!I16,"")</f>
        <v/>
      </c>
      <c r="F6" s="26" t="str">
        <f>IF('Normal uger'!K16&gt;0,'Normal uger'!K16,"")</f>
        <v/>
      </c>
      <c r="G6" s="635" t="str">
        <f>IF('Normal uger'!M16&gt;0,'Normal uger'!M16,"")</f>
        <v/>
      </c>
    </row>
    <row r="7" spans="1:7" ht="20" customHeight="1">
      <c r="A7" s="636" t="str">
        <f>IF('Normal uger'!A17&gt;0,'Normal uger'!B17,"")</f>
        <v/>
      </c>
      <c r="B7" s="32" t="str">
        <f>IF('Normal uger'!A17&gt;0,'Normal uger'!C17,"")</f>
        <v/>
      </c>
      <c r="C7" s="156" t="str">
        <f>IF('Normal uger'!E17&gt;0,'Normal uger'!E17,"")</f>
        <v/>
      </c>
      <c r="D7" s="156" t="str">
        <f>IF('Normal uger'!G17&gt;0,'Normal uger'!G17,"")</f>
        <v/>
      </c>
      <c r="E7" s="156" t="str">
        <f>IF('Normal uger'!I17&gt;0,'Normal uger'!I17,"")</f>
        <v/>
      </c>
      <c r="F7" s="156" t="str">
        <f>IF('Normal uger'!K17&gt;0,'Normal uger'!K17,"")</f>
        <v/>
      </c>
      <c r="G7" s="637" t="str">
        <f>IF('Normal uger'!M17&gt;0,'Normal uger'!M17,"")</f>
        <v/>
      </c>
    </row>
    <row r="8" spans="1:7" ht="20" customHeight="1">
      <c r="A8" s="634" t="str">
        <f>IF('Normal uger'!A18&gt;0,'Normal uger'!B18,"")</f>
        <v/>
      </c>
      <c r="B8" s="31" t="str">
        <f>IF('Normal uger'!A18&gt;0,'Normal uger'!C18,"")</f>
        <v/>
      </c>
      <c r="C8" s="26" t="str">
        <f>IF('Normal uger'!E18&gt;0,'Normal uger'!E18,"")</f>
        <v/>
      </c>
      <c r="D8" s="26" t="str">
        <f>IF('Normal uger'!G18&gt;0,'Normal uger'!G18,"")</f>
        <v/>
      </c>
      <c r="E8" s="26" t="str">
        <f>IF('Normal uger'!I18&gt;0,'Normal uger'!I18,"")</f>
        <v/>
      </c>
      <c r="F8" s="26" t="str">
        <f>IF('Normal uger'!K18&gt;0,'Normal uger'!K18,"")</f>
        <v/>
      </c>
      <c r="G8" s="635" t="str">
        <f>IF('Normal uger'!M18&gt;0,'Normal uger'!M18,"")</f>
        <v/>
      </c>
    </row>
    <row r="9" spans="1:7" ht="20" customHeight="1">
      <c r="A9" s="636" t="str">
        <f>IF('Normal uger'!A19&gt;0,'Normal uger'!B19,"")</f>
        <v/>
      </c>
      <c r="B9" s="32" t="str">
        <f>IF('Normal uger'!A19&gt;0,'Normal uger'!C19,"")</f>
        <v/>
      </c>
      <c r="C9" s="156" t="str">
        <f>IF('Normal uger'!E19&gt;0,'Normal uger'!E19,"")</f>
        <v/>
      </c>
      <c r="D9" s="156" t="str">
        <f>IF('Normal uger'!G19&gt;0,'Normal uger'!G19,"")</f>
        <v/>
      </c>
      <c r="E9" s="156" t="str">
        <f>IF('Normal uger'!I19&gt;0,'Normal uger'!I19,"")</f>
        <v/>
      </c>
      <c r="F9" s="156" t="str">
        <f>IF('Normal uger'!K19&gt;0,'Normal uger'!K19,"")</f>
        <v/>
      </c>
      <c r="G9" s="637" t="str">
        <f>IF('Normal uger'!M19&gt;0,'Normal uger'!M19,"")</f>
        <v/>
      </c>
    </row>
    <row r="10" spans="1:7" ht="20" customHeight="1">
      <c r="A10" s="634" t="str">
        <f>IF('Normal uger'!A20&gt;0,'Normal uger'!B20,"")</f>
        <v/>
      </c>
      <c r="B10" s="31" t="str">
        <f>IF('Normal uger'!A20&gt;0,'Normal uger'!C20,"")</f>
        <v/>
      </c>
      <c r="C10" s="26" t="str">
        <f>IF('Normal uger'!E20&gt;0,'Normal uger'!E20,"")</f>
        <v/>
      </c>
      <c r="D10" s="26" t="str">
        <f>IF('Normal uger'!G20&gt;0,'Normal uger'!G20,"")</f>
        <v/>
      </c>
      <c r="E10" s="26" t="str">
        <f>IF('Normal uger'!I20&gt;0,'Normal uger'!I20,"")</f>
        <v/>
      </c>
      <c r="F10" s="26" t="str">
        <f>IF('Normal uger'!K20&gt;0,'Normal uger'!K20,"")</f>
        <v/>
      </c>
      <c r="G10" s="635" t="str">
        <f>IF('Normal uger'!M20&gt;0,'Normal uger'!M20,"")</f>
        <v/>
      </c>
    </row>
    <row r="11" spans="1:7" ht="20" customHeight="1">
      <c r="A11" s="636" t="str">
        <f>IF('Normal uger'!A21&gt;0,'Normal uger'!B21,"")</f>
        <v/>
      </c>
      <c r="B11" s="32" t="str">
        <f>IF('Normal uger'!A21&gt;0,'Normal uger'!C21,"")</f>
        <v/>
      </c>
      <c r="C11" s="156" t="str">
        <f>IF('Normal uger'!E21&gt;0,'Normal uger'!E21,"")</f>
        <v/>
      </c>
      <c r="D11" s="156" t="str">
        <f>IF('Normal uger'!G21&gt;0,'Normal uger'!G21,"")</f>
        <v/>
      </c>
      <c r="E11" s="156" t="str">
        <f>IF('Normal uger'!I21&gt;0,'Normal uger'!I21,"")</f>
        <v/>
      </c>
      <c r="F11" s="156" t="str">
        <f>IF('Normal uger'!K21&gt;0,'Normal uger'!K21,"")</f>
        <v/>
      </c>
      <c r="G11" s="637" t="str">
        <f>IF('Normal uger'!M21&gt;0,'Normal uger'!M21,"")</f>
        <v/>
      </c>
    </row>
    <row r="12" spans="1:7" ht="20" customHeight="1">
      <c r="A12" s="634" t="str">
        <f>IF('Normal uger'!A22&gt;0,'Normal uger'!B22,"")</f>
        <v/>
      </c>
      <c r="B12" s="31" t="str">
        <f>IF('Normal uger'!A22&gt;0,'Normal uger'!C22,"")</f>
        <v/>
      </c>
      <c r="C12" s="26" t="str">
        <f>IF('Normal uger'!E22&gt;0,'Normal uger'!E22,"")</f>
        <v/>
      </c>
      <c r="D12" s="26" t="str">
        <f>IF('Normal uger'!G22&gt;0,'Normal uger'!G22,"")</f>
        <v/>
      </c>
      <c r="E12" s="26" t="str">
        <f>IF('Normal uger'!I22&gt;0,'Normal uger'!I22,"")</f>
        <v/>
      </c>
      <c r="F12" s="26" t="str">
        <f>IF('Normal uger'!K22&gt;0,'Normal uger'!K22,"")</f>
        <v/>
      </c>
      <c r="G12" s="635" t="str">
        <f>IF('Normal uger'!M22&gt;0,'Normal uger'!M22,"")</f>
        <v/>
      </c>
    </row>
    <row r="13" spans="1:7" ht="20" customHeight="1">
      <c r="A13" s="636" t="str">
        <f>IF('Normal uger'!A23&gt;0,'Normal uger'!B23,"")</f>
        <v/>
      </c>
      <c r="B13" s="32" t="str">
        <f>IF('Normal uger'!A23&gt;0,'Normal uger'!C23,"")</f>
        <v/>
      </c>
      <c r="C13" s="156" t="str">
        <f>IF('Normal uger'!E23&gt;0,'Normal uger'!E23,"")</f>
        <v/>
      </c>
      <c r="D13" s="156" t="str">
        <f>IF('Normal uger'!G23&gt;0,'Normal uger'!G23,"")</f>
        <v/>
      </c>
      <c r="E13" s="156" t="str">
        <f>IF('Normal uger'!I23&gt;0,'Normal uger'!I23,"")</f>
        <v/>
      </c>
      <c r="F13" s="156" t="str">
        <f>IF('Normal uger'!K23&gt;0,'Normal uger'!K23,"")</f>
        <v/>
      </c>
      <c r="G13" s="637" t="str">
        <f>IF('Normal uger'!M23&gt;0,'Normal uger'!M23,"")</f>
        <v/>
      </c>
    </row>
    <row r="14" spans="1:7" ht="20" customHeight="1">
      <c r="A14" s="634" t="str">
        <f>IF('Normal uger'!A24&gt;0,'Normal uger'!B24,"")</f>
        <v/>
      </c>
      <c r="B14" s="31" t="str">
        <f>IF('Normal uger'!A24&gt;0,'Normal uger'!C24,"")</f>
        <v/>
      </c>
      <c r="C14" s="26" t="str">
        <f>IF('Normal uger'!E24&gt;0,'Normal uger'!E24,"")</f>
        <v/>
      </c>
      <c r="D14" s="26" t="str">
        <f>IF('Normal uger'!G24&gt;0,'Normal uger'!G24,"")</f>
        <v/>
      </c>
      <c r="E14" s="26" t="str">
        <f>IF('Normal uger'!I24&gt;0,'Normal uger'!I24,"")</f>
        <v/>
      </c>
      <c r="F14" s="26" t="str">
        <f>IF('Normal uger'!K24&gt;0,'Normal uger'!K24,"")</f>
        <v/>
      </c>
      <c r="G14" s="635" t="str">
        <f>IF('Normal uger'!M24&gt;0,'Normal uger'!M24,"")</f>
        <v/>
      </c>
    </row>
    <row r="15" spans="1:7" ht="20" customHeight="1">
      <c r="A15" s="636" t="str">
        <f>IF('Normal uger'!A25&gt;0,'Normal uger'!B25,"")</f>
        <v/>
      </c>
      <c r="B15" s="32" t="str">
        <f>IF('Normal uger'!A25&gt;0,'Normal uger'!C25,"")</f>
        <v/>
      </c>
      <c r="C15" s="156" t="str">
        <f>IF('Normal uger'!E25&gt;0,'Normal uger'!E25,"")</f>
        <v/>
      </c>
      <c r="D15" s="156" t="str">
        <f>IF('Normal uger'!G25&gt;0,'Normal uger'!G25,"")</f>
        <v/>
      </c>
      <c r="E15" s="156" t="str">
        <f>IF('Normal uger'!I25&gt;0,'Normal uger'!I25,"")</f>
        <v/>
      </c>
      <c r="F15" s="156" t="str">
        <f>IF('Normal uger'!K25&gt;0,'Normal uger'!K25,"")</f>
        <v/>
      </c>
      <c r="G15" s="637" t="str">
        <f>IF('Normal uger'!M25&gt;0,'Normal uger'!M25,"")</f>
        <v/>
      </c>
    </row>
    <row r="16" spans="1:7" ht="20" customHeight="1">
      <c r="A16" s="634" t="str">
        <f>IF('Normal uger'!A26&gt;0,'Normal uger'!B26,"")</f>
        <v/>
      </c>
      <c r="B16" s="31" t="str">
        <f>IF('Normal uger'!A26&gt;0,'Normal uger'!C26,"")</f>
        <v/>
      </c>
      <c r="C16" s="26" t="str">
        <f>IF('Normal uger'!E26&gt;0,'Normal uger'!E26,"")</f>
        <v/>
      </c>
      <c r="D16" s="26" t="str">
        <f>IF('Normal uger'!G26&gt;0,'Normal uger'!G26,"")</f>
        <v/>
      </c>
      <c r="E16" s="26" t="str">
        <f>IF('Normal uger'!I26&gt;0,'Normal uger'!I26,"")</f>
        <v/>
      </c>
      <c r="F16" s="26" t="str">
        <f>IF('Normal uger'!K26&gt;0,'Normal uger'!K26,"")</f>
        <v/>
      </c>
      <c r="G16" s="635" t="str">
        <f>IF('Normal uger'!M26&gt;0,'Normal uger'!M26,"")</f>
        <v/>
      </c>
    </row>
    <row r="17" spans="1:7" ht="20" customHeight="1">
      <c r="A17" s="636" t="str">
        <f>IF('Normal uger'!A27&gt;0,'Normal uger'!B27,"")</f>
        <v/>
      </c>
      <c r="B17" s="32" t="str">
        <f>IF('Normal uger'!A27&gt;0,'Normal uger'!C27,"")</f>
        <v/>
      </c>
      <c r="C17" s="156" t="str">
        <f>IF('Normal uger'!E27&gt;0,'Normal uger'!E27,"")</f>
        <v/>
      </c>
      <c r="D17" s="156" t="str">
        <f>IF('Normal uger'!G27&gt;0,'Normal uger'!G27,"")</f>
        <v/>
      </c>
      <c r="E17" s="156" t="str">
        <f>IF('Normal uger'!I27&gt;0,'Normal uger'!I27,"")</f>
        <v/>
      </c>
      <c r="F17" s="156" t="str">
        <f>IF('Normal uger'!K27&gt;0,'Normal uger'!K27,"")</f>
        <v/>
      </c>
      <c r="G17" s="637" t="str">
        <f>IF('Normal uger'!M27&gt;0,'Normal uger'!M27,"")</f>
        <v/>
      </c>
    </row>
    <row r="18" spans="1:7" ht="20" customHeight="1">
      <c r="A18" s="634" t="str">
        <f>IF('Normal uger'!A28&gt;0,'Normal uger'!B28,"")</f>
        <v/>
      </c>
      <c r="B18" s="31" t="str">
        <f>IF('Normal uger'!A28&gt;0,'Normal uger'!C28,"")</f>
        <v/>
      </c>
      <c r="C18" s="26" t="str">
        <f>IF('Normal uger'!E28&gt;0,'Normal uger'!E28,"")</f>
        <v/>
      </c>
      <c r="D18" s="26" t="str">
        <f>IF('Normal uger'!G28&gt;0,'Normal uger'!G28,"")</f>
        <v/>
      </c>
      <c r="E18" s="26" t="str">
        <f>IF('Normal uger'!I28&gt;0,'Normal uger'!I28,"")</f>
        <v/>
      </c>
      <c r="F18" s="26" t="str">
        <f>IF('Normal uger'!K28&gt;0,'Normal uger'!K28,"")</f>
        <v/>
      </c>
      <c r="G18" s="635" t="str">
        <f>IF('Normal uger'!M28&gt;0,'Normal uger'!M28,"")</f>
        <v/>
      </c>
    </row>
    <row r="19" spans="1:7" ht="20" customHeight="1">
      <c r="A19" s="636" t="str">
        <f>IF('Normal uger'!A29&gt;0,'Normal uger'!B29,"")</f>
        <v/>
      </c>
      <c r="B19" s="32" t="str">
        <f>IF('Normal uger'!A29&gt;0,'Normal uger'!C29,"")</f>
        <v/>
      </c>
      <c r="C19" s="156" t="str">
        <f>IF('Normal uger'!E29&gt;0,'Normal uger'!E29,"")</f>
        <v/>
      </c>
      <c r="D19" s="156" t="str">
        <f>IF('Normal uger'!G29&gt;0,'Normal uger'!G29,"")</f>
        <v/>
      </c>
      <c r="E19" s="156" t="str">
        <f>IF('Normal uger'!I29&gt;0,'Normal uger'!I29,"")</f>
        <v/>
      </c>
      <c r="F19" s="156" t="str">
        <f>IF('Normal uger'!K29&gt;0,'Normal uger'!K29,"")</f>
        <v/>
      </c>
      <c r="G19" s="637" t="str">
        <f>IF('Normal uger'!M29&gt;0,'Normal uger'!M29,"")</f>
        <v/>
      </c>
    </row>
    <row r="20" spans="1:7" ht="20" customHeight="1">
      <c r="A20" s="634" t="str">
        <f>IF('Normal uger'!A30&gt;0,'Normal uger'!B30,"")</f>
        <v/>
      </c>
      <c r="B20" s="31" t="str">
        <f>IF('Normal uger'!A30&gt;0,'Normal uger'!C30,"")</f>
        <v/>
      </c>
      <c r="C20" s="26" t="str">
        <f>IF('Normal uger'!E30&gt;0,'Normal uger'!E30,"")</f>
        <v/>
      </c>
      <c r="D20" s="26" t="str">
        <f>IF('Normal uger'!G30&gt;0,'Normal uger'!G30,"")</f>
        <v/>
      </c>
      <c r="E20" s="26" t="str">
        <f>IF('Normal uger'!I30&gt;0,'Normal uger'!I30,"")</f>
        <v/>
      </c>
      <c r="F20" s="26" t="str">
        <f>IF('Normal uger'!K30&gt;0,'Normal uger'!K30,"")</f>
        <v/>
      </c>
      <c r="G20" s="635" t="str">
        <f>IF('Normal uger'!M30&gt;0,'Normal uger'!M30,"")</f>
        <v/>
      </c>
    </row>
    <row r="21" spans="1:7" ht="20" customHeight="1">
      <c r="A21" s="636" t="str">
        <f>IF('Normal uger'!A31&gt;0,'Normal uger'!B31,"")</f>
        <v/>
      </c>
      <c r="B21" s="32" t="str">
        <f>IF('Normal uger'!A31&gt;0,'Normal uger'!C31,"")</f>
        <v/>
      </c>
      <c r="C21" s="156" t="str">
        <f>IF('Normal uger'!E31&gt;0,'Normal uger'!E31,"")</f>
        <v/>
      </c>
      <c r="D21" s="156" t="str">
        <f>IF('Normal uger'!G31&gt;0,'Normal uger'!G31,"")</f>
        <v/>
      </c>
      <c r="E21" s="156" t="str">
        <f>IF('Normal uger'!I31&gt;0,'Normal uger'!I31,"")</f>
        <v/>
      </c>
      <c r="F21" s="156" t="str">
        <f>IF('Normal uger'!K31&gt;0,'Normal uger'!K31,"")</f>
        <v/>
      </c>
      <c r="G21" s="637" t="str">
        <f>IF('Normal uger'!M31&gt;0,'Normal uger'!M31,"")</f>
        <v/>
      </c>
    </row>
    <row r="22" spans="1:7" ht="20" customHeight="1">
      <c r="A22" s="634" t="str">
        <f>IF('Normal uger'!A32&gt;0,'Normal uger'!B32,"")</f>
        <v/>
      </c>
      <c r="B22" s="31" t="str">
        <f>IF('Normal uger'!A32&gt;0,'Normal uger'!C32,"")</f>
        <v/>
      </c>
      <c r="C22" s="26" t="str">
        <f>IF('Normal uger'!E32&gt;0,'Normal uger'!E32,"")</f>
        <v/>
      </c>
      <c r="D22" s="26" t="str">
        <f>IF('Normal uger'!G32&gt;0,'Normal uger'!G32,"")</f>
        <v/>
      </c>
      <c r="E22" s="26" t="str">
        <f>IF('Normal uger'!I32&gt;0,'Normal uger'!I32,"")</f>
        <v/>
      </c>
      <c r="F22" s="26" t="str">
        <f>IF('Normal uger'!K32&gt;0,'Normal uger'!K32,"")</f>
        <v/>
      </c>
      <c r="G22" s="635" t="str">
        <f>IF('Normal uger'!M32&gt;0,'Normal uger'!M32,"")</f>
        <v/>
      </c>
    </row>
    <row r="23" spans="1:7" ht="20" customHeight="1">
      <c r="A23" s="636" t="str">
        <f>IF('Normal uger'!A33&gt;0,'Normal uger'!B33,"")</f>
        <v/>
      </c>
      <c r="B23" s="32" t="str">
        <f>IF('Normal uger'!A33&gt;0,'Normal uger'!C33,"")</f>
        <v/>
      </c>
      <c r="C23" s="156" t="str">
        <f>IF('Normal uger'!E33&gt;0,'Normal uger'!E33,"")</f>
        <v/>
      </c>
      <c r="D23" s="156" t="str">
        <f>IF('Normal uger'!G33&gt;0,'Normal uger'!G33,"")</f>
        <v/>
      </c>
      <c r="E23" s="156" t="str">
        <f>IF('Normal uger'!I33&gt;0,'Normal uger'!I33,"")</f>
        <v/>
      </c>
      <c r="F23" s="156" t="str">
        <f>IF('Normal uger'!K33&gt;0,'Normal uger'!K33,"")</f>
        <v/>
      </c>
      <c r="G23" s="637" t="str">
        <f>IF('Normal uger'!M33&gt;0,'Normal uger'!M33,"")</f>
        <v/>
      </c>
    </row>
    <row r="24" spans="1:7" ht="20" customHeight="1">
      <c r="A24" s="634" t="str">
        <f>IF('Normal uger'!A34&gt;0,'Normal uger'!B34,"")</f>
        <v/>
      </c>
      <c r="B24" s="31" t="str">
        <f>IF('Normal uger'!A34&gt;0,'Normal uger'!C34,"")</f>
        <v/>
      </c>
      <c r="C24" s="26" t="str">
        <f>IF('Normal uger'!E34&gt;0,'Normal uger'!E34,"")</f>
        <v/>
      </c>
      <c r="D24" s="26" t="str">
        <f>IF('Normal uger'!G34&gt;0,'Normal uger'!G34,"")</f>
        <v/>
      </c>
      <c r="E24" s="26" t="str">
        <f>IF('Normal uger'!I34&gt;0,'Normal uger'!I34,"")</f>
        <v/>
      </c>
      <c r="F24" s="26" t="str">
        <f>IF('Normal uger'!K34&gt;0,'Normal uger'!K34,"")</f>
        <v/>
      </c>
      <c r="G24" s="635" t="str">
        <f>IF('Normal uger'!M34&gt;0,'Normal uger'!M34,"")</f>
        <v/>
      </c>
    </row>
    <row r="25" spans="1:7" ht="20" customHeight="1">
      <c r="A25" s="636" t="str">
        <f>IF('Normal uger'!A35&gt;0,'Normal uger'!B35,"")</f>
        <v/>
      </c>
      <c r="B25" s="32" t="str">
        <f>IF('Normal uger'!A35&gt;0,'Normal uger'!C35,"")</f>
        <v/>
      </c>
      <c r="C25" s="156" t="str">
        <f>IF('Normal uger'!E35&gt;0,'Normal uger'!E35,"")</f>
        <v/>
      </c>
      <c r="D25" s="156" t="str">
        <f>IF('Normal uger'!G35&gt;0,'Normal uger'!G35,"")</f>
        <v/>
      </c>
      <c r="E25" s="156" t="str">
        <f>IF('Normal uger'!I35&gt;0,'Normal uger'!I35,"")</f>
        <v/>
      </c>
      <c r="F25" s="156" t="str">
        <f>IF('Normal uger'!K35&gt;0,'Normal uger'!K35,"")</f>
        <v/>
      </c>
      <c r="G25" s="637" t="str">
        <f>IF('Normal uger'!M35&gt;0,'Normal uger'!M35,"")</f>
        <v/>
      </c>
    </row>
    <row r="26" spans="1:7" ht="20" customHeight="1">
      <c r="A26" s="634" t="str">
        <f>IF('Normal uger'!A36&gt;0,'Normal uger'!B36,"")</f>
        <v/>
      </c>
      <c r="B26" s="31" t="str">
        <f>IF('Normal uger'!A36&gt;0,'Normal uger'!C36,"")</f>
        <v/>
      </c>
      <c r="C26" s="26" t="str">
        <f>IF('Normal uger'!E36&gt;0,'Normal uger'!E36,"")</f>
        <v/>
      </c>
      <c r="D26" s="26" t="str">
        <f>IF('Normal uger'!G36&gt;0,'Normal uger'!G36,"")</f>
        <v/>
      </c>
      <c r="E26" s="26" t="str">
        <f>IF('Normal uger'!I36&gt;0,'Normal uger'!I36,"")</f>
        <v/>
      </c>
      <c r="F26" s="26" t="str">
        <f>IF('Normal uger'!K36&gt;0,'Normal uger'!K36,"")</f>
        <v/>
      </c>
      <c r="G26" s="635" t="str">
        <f>IF('Normal uger'!M36&gt;0,'Normal uger'!M36,"")</f>
        <v/>
      </c>
    </row>
    <row r="27" spans="1:7" ht="20" customHeight="1">
      <c r="A27" s="636" t="str">
        <f>IF('Normal uger'!A37&gt;0,'Normal uger'!B37,"")</f>
        <v/>
      </c>
      <c r="B27" s="32" t="str">
        <f>IF('Normal uger'!A37&gt;0,'Normal uger'!C37,"")</f>
        <v/>
      </c>
      <c r="C27" s="156" t="str">
        <f>IF('Normal uger'!E37&gt;0,'Normal uger'!E37,"")</f>
        <v/>
      </c>
      <c r="D27" s="156" t="str">
        <f>IF('Normal uger'!G37&gt;0,'Normal uger'!G37,"")</f>
        <v/>
      </c>
      <c r="E27" s="156" t="str">
        <f>IF('Normal uger'!I37&gt;0,'Normal uger'!I37,"")</f>
        <v/>
      </c>
      <c r="F27" s="156" t="str">
        <f>IF('Normal uger'!K37&gt;0,'Normal uger'!K37,"")</f>
        <v/>
      </c>
      <c r="G27" s="637" t="str">
        <f>IF('Normal uger'!M37&gt;0,'Normal uger'!M37,"")</f>
        <v/>
      </c>
    </row>
    <row r="28" spans="1:7" ht="20" customHeight="1">
      <c r="A28" s="634" t="str">
        <f>IF('Normal uger'!A38&gt;0,'Normal uger'!B38,"")</f>
        <v/>
      </c>
      <c r="B28" s="31" t="str">
        <f>IF('Normal uger'!A38&gt;0,'Normal uger'!C38,"")</f>
        <v/>
      </c>
      <c r="C28" s="26" t="str">
        <f>IF('Normal uger'!E38&gt;0,'Normal uger'!E38,"")</f>
        <v/>
      </c>
      <c r="D28" s="26" t="str">
        <f>IF('Normal uger'!G38&gt;0,'Normal uger'!G38,"")</f>
        <v/>
      </c>
      <c r="E28" s="26" t="str">
        <f>IF('Normal uger'!I38&gt;0,'Normal uger'!I38,"")</f>
        <v/>
      </c>
      <c r="F28" s="26" t="str">
        <f>IF('Normal uger'!K38&gt;0,'Normal uger'!K38,"")</f>
        <v/>
      </c>
      <c r="G28" s="635" t="str">
        <f>IF('Normal uger'!M38&gt;0,'Normal uger'!M38,"")</f>
        <v/>
      </c>
    </row>
    <row r="29" spans="1:7" ht="20" customHeight="1">
      <c r="A29" s="636" t="str">
        <f>IF('Normal uger'!A39&gt;0,'Normal uger'!B39,"")</f>
        <v/>
      </c>
      <c r="B29" s="32" t="str">
        <f>IF('Normal uger'!A39&gt;0,'Normal uger'!C39,"")</f>
        <v/>
      </c>
      <c r="C29" s="156" t="str">
        <f>IF('Normal uger'!E39&gt;0,'Normal uger'!E39,"")</f>
        <v/>
      </c>
      <c r="D29" s="156" t="str">
        <f>IF('Normal uger'!G39&gt;0,'Normal uger'!G39,"")</f>
        <v/>
      </c>
      <c r="E29" s="156" t="str">
        <f>IF('Normal uger'!I39&gt;0,'Normal uger'!I39,"")</f>
        <v/>
      </c>
      <c r="F29" s="156" t="str">
        <f>IF('Normal uger'!K39&gt;0,'Normal uger'!K39,"")</f>
        <v/>
      </c>
      <c r="G29" s="637" t="str">
        <f>IF('Normal uger'!M39&gt;0,'Normal uger'!M39,"")</f>
        <v/>
      </c>
    </row>
    <row r="30" spans="1:7" ht="20" customHeight="1">
      <c r="A30" s="634" t="str">
        <f>IF('Normal uger'!A40&gt;0,'Normal uger'!B40,"")</f>
        <v/>
      </c>
      <c r="B30" s="31" t="str">
        <f>IF('Normal uger'!A40&gt;0,'Normal uger'!C40,"")</f>
        <v/>
      </c>
      <c r="C30" s="26" t="str">
        <f>IF('Normal uger'!E40&gt;0,'Normal uger'!E40,"")</f>
        <v/>
      </c>
      <c r="D30" s="26" t="str">
        <f>IF('Normal uger'!G40&gt;0,'Normal uger'!G40,"")</f>
        <v/>
      </c>
      <c r="E30" s="26" t="str">
        <f>IF('Normal uger'!I40&gt;0,'Normal uger'!I40,"")</f>
        <v/>
      </c>
      <c r="F30" s="26" t="str">
        <f>IF('Normal uger'!K40&gt;0,'Normal uger'!K40,"")</f>
        <v/>
      </c>
      <c r="G30" s="635" t="str">
        <f>IF('Normal uger'!M40&gt;0,'Normal uger'!M40,"")</f>
        <v/>
      </c>
    </row>
    <row r="31" spans="1:7" ht="20" customHeight="1" thickBot="1">
      <c r="A31" s="687" t="str">
        <f>IF('Normal uger'!A41&gt;0,'Normal uger'!B41,"")</f>
        <v/>
      </c>
      <c r="B31" s="688" t="str">
        <f>IF('Normal uger'!A41&gt;0,'Normal uger'!C41,"")</f>
        <v/>
      </c>
      <c r="C31" s="690" t="str">
        <f>IF('Normal uger'!E41&gt;0,'Normal uger'!E41,"")</f>
        <v/>
      </c>
      <c r="D31" s="690" t="str">
        <f>IF('Normal uger'!G41&gt;0,'Normal uger'!G41,"")</f>
        <v/>
      </c>
      <c r="E31" s="690" t="str">
        <f>IF('Normal uger'!I41&gt;0,'Normal uger'!I41,"")</f>
        <v/>
      </c>
      <c r="F31" s="690" t="str">
        <f>IF('Normal uger'!K41&gt;0,'Normal uger'!K41,"")</f>
        <v/>
      </c>
      <c r="G31" s="691" t="str">
        <f>IF('Normal uger'!M41&gt;0,'Normal uger'!M41,"")</f>
        <v/>
      </c>
    </row>
  </sheetData>
  <sheetProtection sheet="1" objects="1" scenarios="1"/>
  <mergeCells count="4">
    <mergeCell ref="A2:C2"/>
    <mergeCell ref="A1:G1"/>
    <mergeCell ref="D2:E2"/>
    <mergeCell ref="F2:G2"/>
  </mergeCells>
  <pageMargins left="0.7" right="0.7" top="0.75" bottom="0.75" header="0.3" footer="0.3"/>
  <pageSetup paperSize="9" scale="81"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pageSetUpPr fitToPage="1"/>
  </sheetPr>
  <dimension ref="A1:G31"/>
  <sheetViews>
    <sheetView showZeros="0" workbookViewId="0">
      <selection activeCell="H26" sqref="H26"/>
    </sheetView>
  </sheetViews>
  <sheetFormatPr baseColWidth="10" defaultRowHeight="16"/>
  <cols>
    <col min="3" max="7" width="15.83203125" customWidth="1"/>
  </cols>
  <sheetData>
    <row r="1" spans="1:7" ht="32" customHeight="1">
      <c r="A1" s="844" t="str">
        <f>""&amp;'Normal uger'!O8&amp;""</f>
        <v xml:space="preserve">Normaluge 2 - </v>
      </c>
      <c r="B1" s="845"/>
      <c r="C1" s="845"/>
      <c r="D1" s="845"/>
      <c r="E1" s="845"/>
      <c r="F1" s="845"/>
      <c r="G1" s="846"/>
    </row>
    <row r="2" spans="1:7" ht="32" customHeight="1">
      <c r="A2" s="972" t="s">
        <v>114</v>
      </c>
      <c r="B2" s="973"/>
      <c r="C2" s="973"/>
      <c r="D2" s="1175">
        <f>'Normal uger'!T10</f>
        <v>0</v>
      </c>
      <c r="E2" s="1175"/>
      <c r="F2" s="1175">
        <f>'Normal uger'!X10</f>
        <v>0</v>
      </c>
      <c r="G2" s="1176"/>
    </row>
    <row r="3" spans="1:7" ht="32" customHeight="1">
      <c r="A3" s="633" t="s">
        <v>55</v>
      </c>
      <c r="B3" s="153" t="s">
        <v>56</v>
      </c>
      <c r="C3" s="154" t="s">
        <v>31</v>
      </c>
      <c r="D3" s="154" t="s">
        <v>32</v>
      </c>
      <c r="E3" s="154" t="s">
        <v>33</v>
      </c>
      <c r="F3" s="154" t="s">
        <v>34</v>
      </c>
      <c r="G3" s="155" t="s">
        <v>35</v>
      </c>
    </row>
    <row r="4" spans="1:7" ht="20" customHeight="1">
      <c r="A4" s="634" t="str">
        <f>IF('Normal uger'!P14&gt;0,'Normal uger'!P14,"")</f>
        <v/>
      </c>
      <c r="B4" s="31" t="str">
        <f>IF('Normal uger'!Q14&gt;0,'Normal uger'!Q14,"")</f>
        <v/>
      </c>
      <c r="C4" s="26" t="str">
        <f>IF('Normal uger'!S14&gt;0,'Normal uger'!S14,"")</f>
        <v/>
      </c>
      <c r="D4" s="26" t="str">
        <f>IF('Normal uger'!U14&gt;0,'Normal uger'!U14,"")</f>
        <v/>
      </c>
      <c r="E4" s="26" t="str">
        <f>IF('Normal uger'!W14&gt;0,'Normal uger'!W14,"")</f>
        <v/>
      </c>
      <c r="F4" s="26" t="str">
        <f>IF('Normal uger'!Y14&gt;0,'Normal uger'!Y14,"")</f>
        <v/>
      </c>
      <c r="G4" s="635" t="str">
        <f>IF('Normal uger'!AA14&gt;0,'Normal uger'!AA14,"")</f>
        <v/>
      </c>
    </row>
    <row r="5" spans="1:7" ht="20" customHeight="1">
      <c r="A5" s="636" t="str">
        <f>IF('Normal uger'!P15&gt;0,'Normal uger'!P15,"")</f>
        <v/>
      </c>
      <c r="B5" s="32" t="str">
        <f>IF('Normal uger'!Q15&gt;0,'Normal uger'!Q15,"")</f>
        <v/>
      </c>
      <c r="C5" s="156" t="str">
        <f>IF('Normal uger'!S15&gt;0,'Normal uger'!S15,"")</f>
        <v/>
      </c>
      <c r="D5" s="156" t="str">
        <f>IF('Normal uger'!U15&gt;0,'Normal uger'!U15,"")</f>
        <v/>
      </c>
      <c r="E5" s="156" t="str">
        <f>IF('Normal uger'!W15&gt;0,'Normal uger'!W15,"")</f>
        <v/>
      </c>
      <c r="F5" s="156" t="str">
        <f>IF('Normal uger'!Y15&gt;0,'Normal uger'!Y15,"")</f>
        <v/>
      </c>
      <c r="G5" s="637" t="str">
        <f>IF('Normal uger'!AA15&gt;0,'Normal uger'!AA15,"")</f>
        <v/>
      </c>
    </row>
    <row r="6" spans="1:7" ht="20" customHeight="1">
      <c r="A6" s="634" t="str">
        <f>IF('Normal uger'!P16&gt;0,'Normal uger'!P16,"")</f>
        <v/>
      </c>
      <c r="B6" s="31" t="str">
        <f>IF('Normal uger'!Q16&gt;0,'Normal uger'!Q16,"")</f>
        <v/>
      </c>
      <c r="C6" s="26" t="str">
        <f>IF('Normal uger'!S16&gt;0,'Normal uger'!S16,"")</f>
        <v/>
      </c>
      <c r="D6" s="26" t="str">
        <f>IF('Normal uger'!U16&gt;0,'Normal uger'!U16,"")</f>
        <v/>
      </c>
      <c r="E6" s="26" t="str">
        <f>IF('Normal uger'!W16&gt;0,'Normal uger'!W16,"")</f>
        <v/>
      </c>
      <c r="F6" s="26" t="str">
        <f>IF('Normal uger'!Y16&gt;0,'Normal uger'!Y16,"")</f>
        <v/>
      </c>
      <c r="G6" s="635" t="str">
        <f>IF('Normal uger'!AA16&gt;0,'Normal uger'!AA16,"")</f>
        <v/>
      </c>
    </row>
    <row r="7" spans="1:7" ht="20" customHeight="1">
      <c r="A7" s="636" t="str">
        <f>IF('Normal uger'!P17&gt;0,'Normal uger'!P17,"")</f>
        <v/>
      </c>
      <c r="B7" s="32" t="str">
        <f>IF('Normal uger'!Q17&gt;0,'Normal uger'!Q17,"")</f>
        <v/>
      </c>
      <c r="C7" s="156" t="str">
        <f>IF('Normal uger'!S17&gt;0,'Normal uger'!S17,"")</f>
        <v/>
      </c>
      <c r="D7" s="156" t="str">
        <f>IF('Normal uger'!U17&gt;0,'Normal uger'!U17,"")</f>
        <v/>
      </c>
      <c r="E7" s="156" t="str">
        <f>IF('Normal uger'!W17&gt;0,'Normal uger'!W17,"")</f>
        <v/>
      </c>
      <c r="F7" s="156" t="str">
        <f>IF('Normal uger'!Y17&gt;0,'Normal uger'!Y17,"")</f>
        <v/>
      </c>
      <c r="G7" s="637" t="str">
        <f>IF('Normal uger'!AA17&gt;0,'Normal uger'!AA17,"")</f>
        <v/>
      </c>
    </row>
    <row r="8" spans="1:7" ht="20" customHeight="1">
      <c r="A8" s="634" t="str">
        <f>IF('Normal uger'!P18&gt;0,'Normal uger'!P18,"")</f>
        <v/>
      </c>
      <c r="B8" s="31" t="str">
        <f>IF('Normal uger'!Q18&gt;0,'Normal uger'!Q18,"")</f>
        <v/>
      </c>
      <c r="C8" s="26" t="str">
        <f>IF('Normal uger'!S18&gt;0,'Normal uger'!S18,"")</f>
        <v/>
      </c>
      <c r="D8" s="26" t="str">
        <f>IF('Normal uger'!U18&gt;0,'Normal uger'!U18,"")</f>
        <v/>
      </c>
      <c r="E8" s="26" t="str">
        <f>IF('Normal uger'!W18&gt;0,'Normal uger'!W18,"")</f>
        <v/>
      </c>
      <c r="F8" s="26" t="str">
        <f>IF('Normal uger'!Y18&gt;0,'Normal uger'!Y18,"")</f>
        <v/>
      </c>
      <c r="G8" s="635" t="str">
        <f>IF('Normal uger'!AA18&gt;0,'Normal uger'!AA18,"")</f>
        <v/>
      </c>
    </row>
    <row r="9" spans="1:7" ht="20" customHeight="1">
      <c r="A9" s="636" t="str">
        <f>IF('Normal uger'!P19&gt;0,'Normal uger'!P19,"")</f>
        <v/>
      </c>
      <c r="B9" s="32" t="str">
        <f>IF('Normal uger'!Q19&gt;0,'Normal uger'!Q19,"")</f>
        <v/>
      </c>
      <c r="C9" s="156" t="str">
        <f>IF('Normal uger'!S19&gt;0,'Normal uger'!S19,"")</f>
        <v/>
      </c>
      <c r="D9" s="156" t="str">
        <f>IF('Normal uger'!U19&gt;0,'Normal uger'!U19,"")</f>
        <v/>
      </c>
      <c r="E9" s="156" t="str">
        <f>IF('Normal uger'!W19&gt;0,'Normal uger'!W19,"")</f>
        <v/>
      </c>
      <c r="F9" s="156" t="str">
        <f>IF('Normal uger'!Y19&gt;0,'Normal uger'!Y19,"")</f>
        <v/>
      </c>
      <c r="G9" s="637" t="str">
        <f>IF('Normal uger'!AA19&gt;0,'Normal uger'!AA19,"")</f>
        <v/>
      </c>
    </row>
    <row r="10" spans="1:7" ht="20" customHeight="1">
      <c r="A10" s="634" t="str">
        <f>IF('Normal uger'!P20&gt;0,'Normal uger'!P20,"")</f>
        <v/>
      </c>
      <c r="B10" s="31" t="str">
        <f>IF('Normal uger'!Q20&gt;0,'Normal uger'!Q20,"")</f>
        <v/>
      </c>
      <c r="C10" s="26" t="str">
        <f>IF('Normal uger'!S20&gt;0,'Normal uger'!S20,"")</f>
        <v/>
      </c>
      <c r="D10" s="26" t="str">
        <f>IF('Normal uger'!U20&gt;0,'Normal uger'!U20,"")</f>
        <v/>
      </c>
      <c r="E10" s="26" t="str">
        <f>IF('Normal uger'!W20&gt;0,'Normal uger'!W20,"")</f>
        <v/>
      </c>
      <c r="F10" s="26" t="str">
        <f>IF('Normal uger'!Y20&gt;0,'Normal uger'!Y20,"")</f>
        <v/>
      </c>
      <c r="G10" s="635" t="str">
        <f>IF('Normal uger'!AA20&gt;0,'Normal uger'!AA20,"")</f>
        <v/>
      </c>
    </row>
    <row r="11" spans="1:7" ht="20" customHeight="1">
      <c r="A11" s="636" t="str">
        <f>IF('Normal uger'!P21&gt;0,'Normal uger'!P21,"")</f>
        <v/>
      </c>
      <c r="B11" s="32" t="str">
        <f>IF('Normal uger'!Q21&gt;0,'Normal uger'!Q21,"")</f>
        <v/>
      </c>
      <c r="C11" s="156" t="str">
        <f>IF('Normal uger'!S21&gt;0,'Normal uger'!S21,"")</f>
        <v/>
      </c>
      <c r="D11" s="156" t="str">
        <f>IF('Normal uger'!U21&gt;0,'Normal uger'!U21,"")</f>
        <v/>
      </c>
      <c r="E11" s="156" t="str">
        <f>IF('Normal uger'!W21&gt;0,'Normal uger'!W21,"")</f>
        <v/>
      </c>
      <c r="F11" s="156" t="str">
        <f>IF('Normal uger'!Y21&gt;0,'Normal uger'!Y21,"")</f>
        <v/>
      </c>
      <c r="G11" s="637" t="str">
        <f>IF('Normal uger'!AA21&gt;0,'Normal uger'!AA21,"")</f>
        <v/>
      </c>
    </row>
    <row r="12" spans="1:7" ht="20" customHeight="1">
      <c r="A12" s="634" t="str">
        <f>IF('Normal uger'!P22&gt;0,'Normal uger'!P22,"")</f>
        <v/>
      </c>
      <c r="B12" s="31" t="str">
        <f>IF('Normal uger'!Q22&gt;0,'Normal uger'!Q22,"")</f>
        <v/>
      </c>
      <c r="C12" s="26" t="str">
        <f>IF('Normal uger'!S22&gt;0,'Normal uger'!S22,"")</f>
        <v/>
      </c>
      <c r="D12" s="26" t="str">
        <f>IF('Normal uger'!U22&gt;0,'Normal uger'!U22,"")</f>
        <v/>
      </c>
      <c r="E12" s="26" t="str">
        <f>IF('Normal uger'!W22&gt;0,'Normal uger'!W22,"")</f>
        <v/>
      </c>
      <c r="F12" s="26" t="str">
        <f>IF('Normal uger'!Y22&gt;0,'Normal uger'!Y22,"")</f>
        <v/>
      </c>
      <c r="G12" s="635" t="str">
        <f>IF('Normal uger'!AA22&gt;0,'Normal uger'!AA22,"")</f>
        <v/>
      </c>
    </row>
    <row r="13" spans="1:7" ht="20" customHeight="1">
      <c r="A13" s="636" t="str">
        <f>IF('Normal uger'!P23&gt;0,'Normal uger'!P23,"")</f>
        <v/>
      </c>
      <c r="B13" s="32" t="str">
        <f>IF('Normal uger'!Q23&gt;0,'Normal uger'!Q23,"")</f>
        <v/>
      </c>
      <c r="C13" s="156" t="str">
        <f>IF('Normal uger'!S23&gt;0,'Normal uger'!S23,"")</f>
        <v/>
      </c>
      <c r="D13" s="156" t="str">
        <f>IF('Normal uger'!U23&gt;0,'Normal uger'!U23,"")</f>
        <v/>
      </c>
      <c r="E13" s="156" t="str">
        <f>IF('Normal uger'!W23&gt;0,'Normal uger'!W23,"")</f>
        <v/>
      </c>
      <c r="F13" s="156" t="str">
        <f>IF('Normal uger'!Y23&gt;0,'Normal uger'!Y23,"")</f>
        <v/>
      </c>
      <c r="G13" s="637" t="str">
        <f>IF('Normal uger'!AA23&gt;0,'Normal uger'!AA23,"")</f>
        <v/>
      </c>
    </row>
    <row r="14" spans="1:7" ht="20" customHeight="1">
      <c r="A14" s="634" t="str">
        <f>IF('Normal uger'!P24&gt;0,'Normal uger'!P24,"")</f>
        <v/>
      </c>
      <c r="B14" s="31" t="str">
        <f>IF('Normal uger'!Q24&gt;0,'Normal uger'!Q24,"")</f>
        <v/>
      </c>
      <c r="C14" s="26" t="str">
        <f>IF('Normal uger'!S24&gt;0,'Normal uger'!S24,"")</f>
        <v/>
      </c>
      <c r="D14" s="26" t="str">
        <f>IF('Normal uger'!U24&gt;0,'Normal uger'!U24,"")</f>
        <v/>
      </c>
      <c r="E14" s="26" t="str">
        <f>IF('Normal uger'!W24&gt;0,'Normal uger'!W24,"")</f>
        <v/>
      </c>
      <c r="F14" s="26" t="str">
        <f>IF('Normal uger'!Y24&gt;0,'Normal uger'!Y24,"")</f>
        <v/>
      </c>
      <c r="G14" s="635" t="str">
        <f>IF('Normal uger'!AA24&gt;0,'Normal uger'!AA24,"")</f>
        <v/>
      </c>
    </row>
    <row r="15" spans="1:7" ht="20" customHeight="1">
      <c r="A15" s="636" t="str">
        <f>IF('Normal uger'!P25&gt;0,'Normal uger'!P25,"")</f>
        <v/>
      </c>
      <c r="B15" s="32" t="str">
        <f>IF('Normal uger'!Q25&gt;0,'Normal uger'!Q25,"")</f>
        <v/>
      </c>
      <c r="C15" s="156" t="str">
        <f>IF('Normal uger'!S25&gt;0,'Normal uger'!S25,"")</f>
        <v/>
      </c>
      <c r="D15" s="156" t="str">
        <f>IF('Normal uger'!U25&gt;0,'Normal uger'!U25,"")</f>
        <v/>
      </c>
      <c r="E15" s="156" t="str">
        <f>IF('Normal uger'!W25&gt;0,'Normal uger'!W25,"")</f>
        <v/>
      </c>
      <c r="F15" s="156" t="str">
        <f>IF('Normal uger'!Y25&gt;0,'Normal uger'!Y25,"")</f>
        <v/>
      </c>
      <c r="G15" s="637" t="str">
        <f>IF('Normal uger'!AA25&gt;0,'Normal uger'!AA25,"")</f>
        <v/>
      </c>
    </row>
    <row r="16" spans="1:7" ht="20" customHeight="1">
      <c r="A16" s="634" t="str">
        <f>IF('Normal uger'!P26&gt;0,'Normal uger'!P26,"")</f>
        <v/>
      </c>
      <c r="B16" s="31" t="str">
        <f>IF('Normal uger'!Q26&gt;0,'Normal uger'!Q26,"")</f>
        <v/>
      </c>
      <c r="C16" s="26" t="str">
        <f>IF('Normal uger'!S26&gt;0,'Normal uger'!S26,"")</f>
        <v/>
      </c>
      <c r="D16" s="26" t="str">
        <f>IF('Normal uger'!U26&gt;0,'Normal uger'!U26,"")</f>
        <v/>
      </c>
      <c r="E16" s="26" t="str">
        <f>IF('Normal uger'!W26&gt;0,'Normal uger'!W26,"")</f>
        <v/>
      </c>
      <c r="F16" s="26" t="str">
        <f>IF('Normal uger'!Y26&gt;0,'Normal uger'!Y26,"")</f>
        <v/>
      </c>
      <c r="G16" s="635" t="str">
        <f>IF('Normal uger'!AA26&gt;0,'Normal uger'!AA26,"")</f>
        <v/>
      </c>
    </row>
    <row r="17" spans="1:7" ht="20" customHeight="1">
      <c r="A17" s="636" t="str">
        <f>IF('Normal uger'!P27&gt;0,'Normal uger'!P27,"")</f>
        <v/>
      </c>
      <c r="B17" s="32" t="str">
        <f>IF('Normal uger'!Q27&gt;0,'Normal uger'!Q27,"")</f>
        <v/>
      </c>
      <c r="C17" s="156" t="str">
        <f>IF('Normal uger'!S27&gt;0,'Normal uger'!S27,"")</f>
        <v/>
      </c>
      <c r="D17" s="156" t="str">
        <f>IF('Normal uger'!U27&gt;0,'Normal uger'!U27,"")</f>
        <v/>
      </c>
      <c r="E17" s="156" t="str">
        <f>IF('Normal uger'!W27&gt;0,'Normal uger'!W27,"")</f>
        <v/>
      </c>
      <c r="F17" s="156" t="str">
        <f>IF('Normal uger'!Y27&gt;0,'Normal uger'!Y27,"")</f>
        <v/>
      </c>
      <c r="G17" s="637" t="str">
        <f>IF('Normal uger'!AA27&gt;0,'Normal uger'!AA27,"")</f>
        <v/>
      </c>
    </row>
    <row r="18" spans="1:7" ht="20" customHeight="1">
      <c r="A18" s="634" t="str">
        <f>IF('Normal uger'!P28&gt;0,'Normal uger'!P28,"")</f>
        <v/>
      </c>
      <c r="B18" s="31" t="str">
        <f>IF('Normal uger'!Q28&gt;0,'Normal uger'!Q28,"")</f>
        <v/>
      </c>
      <c r="C18" s="26" t="str">
        <f>IF('Normal uger'!S28&gt;0,'Normal uger'!S28,"")</f>
        <v/>
      </c>
      <c r="D18" s="26" t="str">
        <f>IF('Normal uger'!U28&gt;0,'Normal uger'!U28,"")</f>
        <v/>
      </c>
      <c r="E18" s="26" t="str">
        <f>IF('Normal uger'!W28&gt;0,'Normal uger'!W28,"")</f>
        <v/>
      </c>
      <c r="F18" s="26" t="str">
        <f>IF('Normal uger'!Y28&gt;0,'Normal uger'!Y28,"")</f>
        <v/>
      </c>
      <c r="G18" s="635" t="str">
        <f>IF('Normal uger'!AA28&gt;0,'Normal uger'!AA28,"")</f>
        <v/>
      </c>
    </row>
    <row r="19" spans="1:7" ht="20" customHeight="1">
      <c r="A19" s="636" t="str">
        <f>IF('Normal uger'!P29&gt;0,'Normal uger'!P29,"")</f>
        <v/>
      </c>
      <c r="B19" s="32" t="str">
        <f>IF('Normal uger'!Q29&gt;0,'Normal uger'!Q29,"")</f>
        <v/>
      </c>
      <c r="C19" s="156" t="str">
        <f>IF('Normal uger'!S29&gt;0,'Normal uger'!S29,"")</f>
        <v/>
      </c>
      <c r="D19" s="156" t="str">
        <f>IF('Normal uger'!U29&gt;0,'Normal uger'!U29,"")</f>
        <v/>
      </c>
      <c r="E19" s="156" t="str">
        <f>IF('Normal uger'!W29&gt;0,'Normal uger'!W29,"")</f>
        <v/>
      </c>
      <c r="F19" s="156" t="str">
        <f>IF('Normal uger'!Y29&gt;0,'Normal uger'!Y29,"")</f>
        <v/>
      </c>
      <c r="G19" s="637" t="str">
        <f>IF('Normal uger'!AA29&gt;0,'Normal uger'!AA29,"")</f>
        <v/>
      </c>
    </row>
    <row r="20" spans="1:7" ht="20" customHeight="1">
      <c r="A20" s="634" t="str">
        <f>IF('Normal uger'!P30&gt;0,'Normal uger'!P30,"")</f>
        <v/>
      </c>
      <c r="B20" s="31" t="str">
        <f>IF('Normal uger'!Q30&gt;0,'Normal uger'!Q30,"")</f>
        <v/>
      </c>
      <c r="C20" s="26" t="str">
        <f>IF('Normal uger'!S30&gt;0,'Normal uger'!S30,"")</f>
        <v/>
      </c>
      <c r="D20" s="26" t="str">
        <f>IF('Normal uger'!U30&gt;0,'Normal uger'!U30,"")</f>
        <v/>
      </c>
      <c r="E20" s="26" t="str">
        <f>IF('Normal uger'!W30&gt;0,'Normal uger'!W30,"")</f>
        <v/>
      </c>
      <c r="F20" s="26" t="str">
        <f>IF('Normal uger'!Y30&gt;0,'Normal uger'!Y30,"")</f>
        <v/>
      </c>
      <c r="G20" s="635" t="str">
        <f>IF('Normal uger'!AA30&gt;0,'Normal uger'!AA30,"")</f>
        <v/>
      </c>
    </row>
    <row r="21" spans="1:7" ht="20" customHeight="1">
      <c r="A21" s="636" t="str">
        <f>IF('Normal uger'!P31&gt;0,'Normal uger'!P31,"")</f>
        <v/>
      </c>
      <c r="B21" s="32" t="str">
        <f>IF('Normal uger'!Q31&gt;0,'Normal uger'!Q31,"")</f>
        <v/>
      </c>
      <c r="C21" s="156" t="str">
        <f>IF('Normal uger'!S31&gt;0,'Normal uger'!S31,"")</f>
        <v/>
      </c>
      <c r="D21" s="156" t="str">
        <f>IF('Normal uger'!U31&gt;0,'Normal uger'!U31,"")</f>
        <v/>
      </c>
      <c r="E21" s="156" t="str">
        <f>IF('Normal uger'!W31&gt;0,'Normal uger'!W31,"")</f>
        <v/>
      </c>
      <c r="F21" s="156" t="str">
        <f>IF('Normal uger'!Y31&gt;0,'Normal uger'!Y31,"")</f>
        <v/>
      </c>
      <c r="G21" s="637" t="str">
        <f>IF('Normal uger'!AA31&gt;0,'Normal uger'!AA31,"")</f>
        <v/>
      </c>
    </row>
    <row r="22" spans="1:7" ht="20" customHeight="1">
      <c r="A22" s="634" t="str">
        <f>IF('Normal uger'!P32&gt;0,'Normal uger'!P32,"")</f>
        <v/>
      </c>
      <c r="B22" s="31" t="str">
        <f>IF('Normal uger'!Q32&gt;0,'Normal uger'!Q32,"")</f>
        <v/>
      </c>
      <c r="C22" s="26" t="str">
        <f>IF('Normal uger'!S32&gt;0,'Normal uger'!S32,"")</f>
        <v/>
      </c>
      <c r="D22" s="26" t="str">
        <f>IF('Normal uger'!U32&gt;0,'Normal uger'!U32,"")</f>
        <v/>
      </c>
      <c r="E22" s="26" t="str">
        <f>IF('Normal uger'!W32&gt;0,'Normal uger'!W32,"")</f>
        <v/>
      </c>
      <c r="F22" s="26" t="str">
        <f>IF('Normal uger'!Y32&gt;0,'Normal uger'!Y32,"")</f>
        <v/>
      </c>
      <c r="G22" s="635" t="str">
        <f>IF('Normal uger'!AA32&gt;0,'Normal uger'!AA32,"")</f>
        <v/>
      </c>
    </row>
    <row r="23" spans="1:7" ht="20" customHeight="1">
      <c r="A23" s="636" t="str">
        <f>IF('Normal uger'!P33&gt;0,'Normal uger'!P33,"")</f>
        <v/>
      </c>
      <c r="B23" s="32" t="str">
        <f>IF('Normal uger'!Q33&gt;0,'Normal uger'!Q33,"")</f>
        <v/>
      </c>
      <c r="C23" s="156" t="str">
        <f>IF('Normal uger'!S33&gt;0,'Normal uger'!S33,"")</f>
        <v/>
      </c>
      <c r="D23" s="156" t="str">
        <f>IF('Normal uger'!U33&gt;0,'Normal uger'!U33,"")</f>
        <v/>
      </c>
      <c r="E23" s="156" t="str">
        <f>IF('Normal uger'!W33&gt;0,'Normal uger'!W33,"")</f>
        <v/>
      </c>
      <c r="F23" s="156" t="str">
        <f>IF('Normal uger'!Y33&gt;0,'Normal uger'!Y33,"")</f>
        <v/>
      </c>
      <c r="G23" s="637" t="str">
        <f>IF('Normal uger'!AA33&gt;0,'Normal uger'!AA33,"")</f>
        <v/>
      </c>
    </row>
    <row r="24" spans="1:7" ht="20" customHeight="1">
      <c r="A24" s="634" t="str">
        <f>IF('Normal uger'!P34&gt;0,'Normal uger'!P34,"")</f>
        <v/>
      </c>
      <c r="B24" s="31" t="str">
        <f>IF('Normal uger'!Q34&gt;0,'Normal uger'!Q34,"")</f>
        <v/>
      </c>
      <c r="C24" s="26" t="str">
        <f>IF('Normal uger'!S34&gt;0,'Normal uger'!S34,"")</f>
        <v/>
      </c>
      <c r="D24" s="26" t="str">
        <f>IF('Normal uger'!U34&gt;0,'Normal uger'!U34,"")</f>
        <v/>
      </c>
      <c r="E24" s="26" t="str">
        <f>IF('Normal uger'!W34&gt;0,'Normal uger'!W34,"")</f>
        <v/>
      </c>
      <c r="F24" s="26" t="str">
        <f>IF('Normal uger'!Y34&gt;0,'Normal uger'!Y34,"")</f>
        <v/>
      </c>
      <c r="G24" s="635" t="str">
        <f>IF('Normal uger'!AA34&gt;0,'Normal uger'!AA34,"")</f>
        <v/>
      </c>
    </row>
    <row r="25" spans="1:7" ht="20" customHeight="1">
      <c r="A25" s="636" t="str">
        <f>IF('Normal uger'!P35&gt;0,'Normal uger'!P35,"")</f>
        <v/>
      </c>
      <c r="B25" s="32" t="str">
        <f>IF('Normal uger'!Q35&gt;0,'Normal uger'!Q35,"")</f>
        <v/>
      </c>
      <c r="C25" s="156" t="str">
        <f>IF('Normal uger'!S35&gt;0,'Normal uger'!S35,"")</f>
        <v/>
      </c>
      <c r="D25" s="156" t="str">
        <f>IF('Normal uger'!U35&gt;0,'Normal uger'!U35,"")</f>
        <v/>
      </c>
      <c r="E25" s="156" t="str">
        <f>IF('Normal uger'!W35&gt;0,'Normal uger'!W35,"")</f>
        <v/>
      </c>
      <c r="F25" s="156" t="str">
        <f>IF('Normal uger'!Y35&gt;0,'Normal uger'!Y35,"")</f>
        <v/>
      </c>
      <c r="G25" s="637" t="str">
        <f>IF('Normal uger'!AA35&gt;0,'Normal uger'!AA35,"")</f>
        <v/>
      </c>
    </row>
    <row r="26" spans="1:7" ht="20" customHeight="1">
      <c r="A26" s="634" t="str">
        <f>IF('Normal uger'!P36&gt;0,'Normal uger'!P36,"")</f>
        <v/>
      </c>
      <c r="B26" s="31" t="str">
        <f>IF('Normal uger'!Q36&gt;0,'Normal uger'!Q36,"")</f>
        <v/>
      </c>
      <c r="C26" s="26" t="str">
        <f>IF('Normal uger'!S36&gt;0,'Normal uger'!S36,"")</f>
        <v/>
      </c>
      <c r="D26" s="26" t="str">
        <f>IF('Normal uger'!U36&gt;0,'Normal uger'!U36,"")</f>
        <v/>
      </c>
      <c r="E26" s="26" t="str">
        <f>IF('Normal uger'!W36&gt;0,'Normal uger'!W36,"")</f>
        <v/>
      </c>
      <c r="F26" s="26" t="str">
        <f>IF('Normal uger'!Y36&gt;0,'Normal uger'!Y36,"")</f>
        <v/>
      </c>
      <c r="G26" s="635" t="str">
        <f>IF('Normal uger'!AA36&gt;0,'Normal uger'!AA36,"")</f>
        <v/>
      </c>
    </row>
    <row r="27" spans="1:7" ht="20" customHeight="1">
      <c r="A27" s="636" t="str">
        <f>IF('Normal uger'!P37&gt;0,'Normal uger'!P37,"")</f>
        <v/>
      </c>
      <c r="B27" s="32" t="str">
        <f>IF('Normal uger'!Q37&gt;0,'Normal uger'!Q37,"")</f>
        <v/>
      </c>
      <c r="C27" s="156" t="str">
        <f>IF('Normal uger'!S37&gt;0,'Normal uger'!S37,"")</f>
        <v/>
      </c>
      <c r="D27" s="156" t="str">
        <f>IF('Normal uger'!U37&gt;0,'Normal uger'!U37,"")</f>
        <v/>
      </c>
      <c r="E27" s="156" t="str">
        <f>IF('Normal uger'!W37&gt;0,'Normal uger'!W37,"")</f>
        <v/>
      </c>
      <c r="F27" s="156" t="str">
        <f>IF('Normal uger'!Y37&gt;0,'Normal uger'!Y37,"")</f>
        <v/>
      </c>
      <c r="G27" s="637" t="str">
        <f>IF('Normal uger'!AA37&gt;0,'Normal uger'!AA37,"")</f>
        <v/>
      </c>
    </row>
    <row r="28" spans="1:7" ht="20" customHeight="1">
      <c r="A28" s="634" t="str">
        <f>IF('Normal uger'!P38&gt;0,'Normal uger'!P38,"")</f>
        <v/>
      </c>
      <c r="B28" s="31" t="str">
        <f>IF('Normal uger'!Q38&gt;0,'Normal uger'!Q38,"")</f>
        <v/>
      </c>
      <c r="C28" s="26" t="str">
        <f>IF('Normal uger'!S38&gt;0,'Normal uger'!S38,"")</f>
        <v/>
      </c>
      <c r="D28" s="26" t="str">
        <f>IF('Normal uger'!U38&gt;0,'Normal uger'!U38,"")</f>
        <v/>
      </c>
      <c r="E28" s="26" t="str">
        <f>IF('Normal uger'!W38&gt;0,'Normal uger'!W38,"")</f>
        <v/>
      </c>
      <c r="F28" s="26" t="str">
        <f>IF('Normal uger'!Y38&gt;0,'Normal uger'!Y38,"")</f>
        <v/>
      </c>
      <c r="G28" s="635" t="str">
        <f>IF('Normal uger'!AA38&gt;0,'Normal uger'!AA38,"")</f>
        <v/>
      </c>
    </row>
    <row r="29" spans="1:7" ht="20" customHeight="1">
      <c r="A29" s="636" t="str">
        <f>IF('Normal uger'!P39&gt;0,'Normal uger'!P39,"")</f>
        <v/>
      </c>
      <c r="B29" s="32" t="str">
        <f>IF('Normal uger'!Q39&gt;0,'Normal uger'!Q39,"")</f>
        <v/>
      </c>
      <c r="C29" s="156" t="str">
        <f>IF('Normal uger'!S39&gt;0,'Normal uger'!S39,"")</f>
        <v/>
      </c>
      <c r="D29" s="156" t="str">
        <f>IF('Normal uger'!U39&gt;0,'Normal uger'!U39,"")</f>
        <v/>
      </c>
      <c r="E29" s="156" t="str">
        <f>IF('Normal uger'!W39&gt;0,'Normal uger'!W39,"")</f>
        <v/>
      </c>
      <c r="F29" s="156" t="str">
        <f>IF('Normal uger'!Y39&gt;0,'Normal uger'!Y39,"")</f>
        <v/>
      </c>
      <c r="G29" s="637" t="str">
        <f>IF('Normal uger'!AA39&gt;0,'Normal uger'!AA39,"")</f>
        <v/>
      </c>
    </row>
    <row r="30" spans="1:7" ht="20" customHeight="1">
      <c r="A30" s="634" t="str">
        <f>IF('Normal uger'!P40&gt;0,'Normal uger'!P40,"")</f>
        <v/>
      </c>
      <c r="B30" s="31" t="str">
        <f>IF('Normal uger'!Q40&gt;0,'Normal uger'!Q40,"")</f>
        <v/>
      </c>
      <c r="C30" s="26" t="str">
        <f>IF('Normal uger'!S40&gt;0,'Normal uger'!S40,"")</f>
        <v/>
      </c>
      <c r="D30" s="26" t="str">
        <f>IF('Normal uger'!U40&gt;0,'Normal uger'!U40,"")</f>
        <v/>
      </c>
      <c r="E30" s="26" t="str">
        <f>IF('Normal uger'!W40&gt;0,'Normal uger'!W40,"")</f>
        <v/>
      </c>
      <c r="F30" s="26" t="str">
        <f>IF('Normal uger'!Y40&gt;0,'Normal uger'!Y40,"")</f>
        <v/>
      </c>
      <c r="G30" s="635" t="str">
        <f>IF('Normal uger'!AA40&gt;0,'Normal uger'!AA40,"")</f>
        <v/>
      </c>
    </row>
    <row r="31" spans="1:7" ht="20" customHeight="1" thickBot="1">
      <c r="A31" s="687" t="str">
        <f>IF('Normal uger'!P41&gt;0,'Normal uger'!P41,"")</f>
        <v/>
      </c>
      <c r="B31" s="688" t="str">
        <f>IF('Normal uger'!Q41&gt;0,'Normal uger'!Q41,"")</f>
        <v/>
      </c>
      <c r="C31" s="690" t="str">
        <f>IF('Normal uger'!S41&gt;0,'Normal uger'!S41,"")</f>
        <v/>
      </c>
      <c r="D31" s="690" t="str">
        <f>IF('Normal uger'!U41&gt;0,'Normal uger'!U41,"")</f>
        <v/>
      </c>
      <c r="E31" s="690" t="str">
        <f>IF('Normal uger'!W41&gt;0,'Normal uger'!W41,"")</f>
        <v/>
      </c>
      <c r="F31" s="690" t="str">
        <f>IF('Normal uger'!Y41&gt;0,'Normal uger'!Y41,"")</f>
        <v/>
      </c>
      <c r="G31" s="691" t="str">
        <f>IF('Normal uger'!AA41&gt;0,'Normal uger'!AA41,"")</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pageSetUpPr fitToPage="1"/>
  </sheetPr>
  <dimension ref="A1:G31"/>
  <sheetViews>
    <sheetView showZeros="0" workbookViewId="0">
      <selection activeCell="H10" sqref="H10"/>
    </sheetView>
  </sheetViews>
  <sheetFormatPr baseColWidth="10" defaultRowHeight="16"/>
  <cols>
    <col min="3" max="7" width="15.83203125" customWidth="1"/>
  </cols>
  <sheetData>
    <row r="1" spans="1:7" ht="32" customHeight="1">
      <c r="A1" s="844" t="str">
        <f>""&amp;'Normal uger'!AC8&amp;""</f>
        <v xml:space="preserve">Normaluge 3 - </v>
      </c>
      <c r="B1" s="845"/>
      <c r="C1" s="845"/>
      <c r="D1" s="845"/>
      <c r="E1" s="845"/>
      <c r="F1" s="845"/>
      <c r="G1" s="846"/>
    </row>
    <row r="2" spans="1:7" ht="32" customHeight="1">
      <c r="A2" s="972" t="s">
        <v>114</v>
      </c>
      <c r="B2" s="973"/>
      <c r="C2" s="973"/>
      <c r="D2" s="1175">
        <f>'Normal uger'!AH10</f>
        <v>0</v>
      </c>
      <c r="E2" s="1175"/>
      <c r="F2" s="1175">
        <f>'Normal uger'!AL10</f>
        <v>0</v>
      </c>
      <c r="G2" s="1176"/>
    </row>
    <row r="3" spans="1:7" ht="32" customHeight="1">
      <c r="A3" s="633" t="s">
        <v>55</v>
      </c>
      <c r="B3" s="153" t="s">
        <v>56</v>
      </c>
      <c r="C3" s="154" t="s">
        <v>31</v>
      </c>
      <c r="D3" s="154" t="s">
        <v>32</v>
      </c>
      <c r="E3" s="154" t="s">
        <v>33</v>
      </c>
      <c r="F3" s="154" t="s">
        <v>34</v>
      </c>
      <c r="G3" s="155" t="s">
        <v>35</v>
      </c>
    </row>
    <row r="4" spans="1:7" ht="20" customHeight="1">
      <c r="A4" s="634" t="str">
        <f>IF('Normal uger'!AD14&gt;0,'Normal uger'!AD14,"")</f>
        <v/>
      </c>
      <c r="B4" s="31" t="str">
        <f>IF('Normal uger'!AE14&gt;0,'Normal uger'!AE14,"")</f>
        <v/>
      </c>
      <c r="C4" s="31" t="str">
        <f>IF('Normal uger'!AG14&gt;0,'Normal uger'!AG14,"")</f>
        <v/>
      </c>
      <c r="D4" s="31" t="str">
        <f>IF('Normal uger'!AI14&gt;0,'Normal uger'!AI14,"")</f>
        <v/>
      </c>
      <c r="E4" s="31" t="str">
        <f>IF('Normal uger'!AK14&gt;0,'Normal uger'!AK14,"")</f>
        <v/>
      </c>
      <c r="F4" s="31" t="str">
        <f>IF('Normal uger'!AM14&gt;0,'Normal uger'!AM14,"")</f>
        <v/>
      </c>
      <c r="G4" s="615" t="str">
        <f>IF('Normal uger'!AO14&gt;0,'Normal uger'!AO14,"")</f>
        <v/>
      </c>
    </row>
    <row r="5" spans="1:7" ht="20" customHeight="1">
      <c r="A5" s="636" t="str">
        <f>IF('Normal uger'!AD15&gt;0,'Normal uger'!AD15,"")</f>
        <v/>
      </c>
      <c r="B5" s="32" t="str">
        <f>IF('Normal uger'!AE15&gt;0,'Normal uger'!AE15,"")</f>
        <v/>
      </c>
      <c r="C5" s="32" t="str">
        <f>IF('Normal uger'!AG15&gt;0,'Normal uger'!AG15,"")</f>
        <v/>
      </c>
      <c r="D5" s="32" t="str">
        <f>IF('Normal uger'!AI15&gt;0,'Normal uger'!AI15,"")</f>
        <v/>
      </c>
      <c r="E5" s="32" t="str">
        <f>IF('Normal uger'!AK15&gt;0,'Normal uger'!AK15,"")</f>
        <v/>
      </c>
      <c r="F5" s="32" t="str">
        <f>IF('Normal uger'!AM15&gt;0,'Normal uger'!AM15,"")</f>
        <v/>
      </c>
      <c r="G5" s="638" t="str">
        <f>IF('Normal uger'!AO15&gt;0,'Normal uger'!AO15,"")</f>
        <v/>
      </c>
    </row>
    <row r="6" spans="1:7" ht="20" customHeight="1">
      <c r="A6" s="634" t="str">
        <f>IF('Normal uger'!AD16&gt;0,'Normal uger'!AD16,"")</f>
        <v/>
      </c>
      <c r="B6" s="31" t="str">
        <f>IF('Normal uger'!AE16&gt;0,'Normal uger'!AE16,"")</f>
        <v/>
      </c>
      <c r="C6" s="31" t="str">
        <f>IF('Normal uger'!AG16&gt;0,'Normal uger'!AG16,"")</f>
        <v/>
      </c>
      <c r="D6" s="31" t="str">
        <f>IF('Normal uger'!AI16&gt;0,'Normal uger'!AI16,"")</f>
        <v/>
      </c>
      <c r="E6" s="31" t="str">
        <f>IF('Normal uger'!AK16&gt;0,'Normal uger'!AK16,"")</f>
        <v/>
      </c>
      <c r="F6" s="31" t="str">
        <f>IF('Normal uger'!AM16&gt;0,'Normal uger'!AM16,"")</f>
        <v/>
      </c>
      <c r="G6" s="615" t="str">
        <f>IF('Normal uger'!AO16&gt;0,'Normal uger'!AO16,"")</f>
        <v/>
      </c>
    </row>
    <row r="7" spans="1:7" ht="20" customHeight="1">
      <c r="A7" s="636" t="str">
        <f>IF('Normal uger'!AD17&gt;0,'Normal uger'!AD17,"")</f>
        <v/>
      </c>
      <c r="B7" s="32" t="str">
        <f>IF('Normal uger'!AE17&gt;0,'Normal uger'!AE17,"")</f>
        <v/>
      </c>
      <c r="C7" s="32" t="str">
        <f>IF('Normal uger'!AG17&gt;0,'Normal uger'!AG17,"")</f>
        <v/>
      </c>
      <c r="D7" s="32" t="str">
        <f>IF('Normal uger'!AI17&gt;0,'Normal uger'!AI17,"")</f>
        <v/>
      </c>
      <c r="E7" s="32" t="str">
        <f>IF('Normal uger'!AK17&gt;0,'Normal uger'!AK17,"")</f>
        <v/>
      </c>
      <c r="F7" s="32" t="str">
        <f>IF('Normal uger'!AM17&gt;0,'Normal uger'!AM17,"")</f>
        <v/>
      </c>
      <c r="G7" s="638" t="str">
        <f>IF('Normal uger'!AO17&gt;0,'Normal uger'!AO17,"")</f>
        <v/>
      </c>
    </row>
    <row r="8" spans="1:7" ht="20" customHeight="1">
      <c r="A8" s="634" t="str">
        <f>IF('Normal uger'!AD18&gt;0,'Normal uger'!AD18,"")</f>
        <v/>
      </c>
      <c r="B8" s="31" t="str">
        <f>IF('Normal uger'!AE18&gt;0,'Normal uger'!AE18,"")</f>
        <v/>
      </c>
      <c r="C8" s="31" t="str">
        <f>IF('Normal uger'!AG18&gt;0,'Normal uger'!AG18,"")</f>
        <v/>
      </c>
      <c r="D8" s="31" t="str">
        <f>IF('Normal uger'!AI18&gt;0,'Normal uger'!AI18,"")</f>
        <v/>
      </c>
      <c r="E8" s="31" t="str">
        <f>IF('Normal uger'!AK18&gt;0,'Normal uger'!AK18,"")</f>
        <v/>
      </c>
      <c r="F8" s="31" t="str">
        <f>IF('Normal uger'!AM18&gt;0,'Normal uger'!AM18,"")</f>
        <v/>
      </c>
      <c r="G8" s="615" t="str">
        <f>IF('Normal uger'!AO18&gt;0,'Normal uger'!AO18,"")</f>
        <v/>
      </c>
    </row>
    <row r="9" spans="1:7" ht="20" customHeight="1">
      <c r="A9" s="636" t="str">
        <f>IF('Normal uger'!AD19&gt;0,'Normal uger'!AD19,"")</f>
        <v/>
      </c>
      <c r="B9" s="32" t="str">
        <f>IF('Normal uger'!AE19&gt;0,'Normal uger'!AE19,"")</f>
        <v/>
      </c>
      <c r="C9" s="32" t="str">
        <f>IF('Normal uger'!AG19&gt;0,'Normal uger'!AG19,"")</f>
        <v/>
      </c>
      <c r="D9" s="32" t="str">
        <f>IF('Normal uger'!AI19&gt;0,'Normal uger'!AI19,"")</f>
        <v/>
      </c>
      <c r="E9" s="32" t="str">
        <f>IF('Normal uger'!AK19&gt;0,'Normal uger'!AK19,"")</f>
        <v/>
      </c>
      <c r="F9" s="32" t="str">
        <f>IF('Normal uger'!AM19&gt;0,'Normal uger'!AM19,"")</f>
        <v/>
      </c>
      <c r="G9" s="638" t="str">
        <f>IF('Normal uger'!AO19&gt;0,'Normal uger'!AO19,"")</f>
        <v/>
      </c>
    </row>
    <row r="10" spans="1:7" ht="20" customHeight="1">
      <c r="A10" s="634" t="str">
        <f>IF('Normal uger'!AD20&gt;0,'Normal uger'!AD20,"")</f>
        <v/>
      </c>
      <c r="B10" s="31" t="str">
        <f>IF('Normal uger'!AE20&gt;0,'Normal uger'!AE20,"")</f>
        <v/>
      </c>
      <c r="C10" s="31" t="str">
        <f>IF('Normal uger'!AG20&gt;0,'Normal uger'!AG20,"")</f>
        <v/>
      </c>
      <c r="D10" s="31" t="str">
        <f>IF('Normal uger'!AI20&gt;0,'Normal uger'!AI20,"")</f>
        <v/>
      </c>
      <c r="E10" s="31" t="str">
        <f>IF('Normal uger'!AK20&gt;0,'Normal uger'!AK20,"")</f>
        <v/>
      </c>
      <c r="F10" s="31" t="str">
        <f>IF('Normal uger'!AM20&gt;0,'Normal uger'!AM20,"")</f>
        <v/>
      </c>
      <c r="G10" s="615" t="str">
        <f>IF('Normal uger'!AO20&gt;0,'Normal uger'!AO20,"")</f>
        <v/>
      </c>
    </row>
    <row r="11" spans="1:7" ht="20" customHeight="1">
      <c r="A11" s="636" t="str">
        <f>IF('Normal uger'!AD21&gt;0,'Normal uger'!AD21,"")</f>
        <v/>
      </c>
      <c r="B11" s="32" t="str">
        <f>IF('Normal uger'!AE21&gt;0,'Normal uger'!AE21,"")</f>
        <v/>
      </c>
      <c r="C11" s="32" t="str">
        <f>IF('Normal uger'!AG21&gt;0,'Normal uger'!AG21,"")</f>
        <v/>
      </c>
      <c r="D11" s="32" t="str">
        <f>IF('Normal uger'!AI21&gt;0,'Normal uger'!AI21,"")</f>
        <v/>
      </c>
      <c r="E11" s="32" t="str">
        <f>IF('Normal uger'!AK21&gt;0,'Normal uger'!AK21,"")</f>
        <v/>
      </c>
      <c r="F11" s="32" t="str">
        <f>IF('Normal uger'!AM21&gt;0,'Normal uger'!AM21,"")</f>
        <v/>
      </c>
      <c r="G11" s="638" t="str">
        <f>IF('Normal uger'!AO21&gt;0,'Normal uger'!AO21,"")</f>
        <v/>
      </c>
    </row>
    <row r="12" spans="1:7" ht="20" customHeight="1">
      <c r="A12" s="634" t="str">
        <f>IF('Normal uger'!AD22&gt;0,'Normal uger'!AD22,"")</f>
        <v/>
      </c>
      <c r="B12" s="31" t="str">
        <f>IF('Normal uger'!AE22&gt;0,'Normal uger'!AE22,"")</f>
        <v/>
      </c>
      <c r="C12" s="31" t="str">
        <f>IF('Normal uger'!AG22&gt;0,'Normal uger'!AG22,"")</f>
        <v/>
      </c>
      <c r="D12" s="31" t="str">
        <f>IF('Normal uger'!AI22&gt;0,'Normal uger'!AI22,"")</f>
        <v/>
      </c>
      <c r="E12" s="31" t="str">
        <f>IF('Normal uger'!AK22&gt;0,'Normal uger'!AK22,"")</f>
        <v/>
      </c>
      <c r="F12" s="31" t="str">
        <f>IF('Normal uger'!AM22&gt;0,'Normal uger'!AM22,"")</f>
        <v/>
      </c>
      <c r="G12" s="615" t="str">
        <f>IF('Normal uger'!AO22&gt;0,'Normal uger'!AO22,"")</f>
        <v/>
      </c>
    </row>
    <row r="13" spans="1:7" ht="20" customHeight="1">
      <c r="A13" s="636" t="str">
        <f>IF('Normal uger'!AD23&gt;0,'Normal uger'!AD23,"")</f>
        <v/>
      </c>
      <c r="B13" s="32" t="str">
        <f>IF('Normal uger'!AE23&gt;0,'Normal uger'!AE23,"")</f>
        <v/>
      </c>
      <c r="C13" s="32" t="str">
        <f>IF('Normal uger'!AG23&gt;0,'Normal uger'!AG23,"")</f>
        <v/>
      </c>
      <c r="D13" s="32" t="str">
        <f>IF('Normal uger'!AI23&gt;0,'Normal uger'!AI23,"")</f>
        <v/>
      </c>
      <c r="E13" s="32" t="str">
        <f>IF('Normal uger'!AK23&gt;0,'Normal uger'!AK23,"")</f>
        <v/>
      </c>
      <c r="F13" s="32" t="str">
        <f>IF('Normal uger'!AM23&gt;0,'Normal uger'!AM23,"")</f>
        <v/>
      </c>
      <c r="G13" s="638" t="str">
        <f>IF('Normal uger'!AO23&gt;0,'Normal uger'!AO23,"")</f>
        <v/>
      </c>
    </row>
    <row r="14" spans="1:7" ht="20" customHeight="1">
      <c r="A14" s="634" t="str">
        <f>IF('Normal uger'!AD24&gt;0,'Normal uger'!AD24,"")</f>
        <v/>
      </c>
      <c r="B14" s="31" t="str">
        <f>IF('Normal uger'!AE24&gt;0,'Normal uger'!AE24,"")</f>
        <v/>
      </c>
      <c r="C14" s="31" t="str">
        <f>IF('Normal uger'!AG24&gt;0,'Normal uger'!AG24,"")</f>
        <v/>
      </c>
      <c r="D14" s="31" t="str">
        <f>IF('Normal uger'!AI24&gt;0,'Normal uger'!AI24,"")</f>
        <v/>
      </c>
      <c r="E14" s="31" t="str">
        <f>IF('Normal uger'!AK24&gt;0,'Normal uger'!AK24,"")</f>
        <v/>
      </c>
      <c r="F14" s="31" t="str">
        <f>IF('Normal uger'!AM24&gt;0,'Normal uger'!AM24,"")</f>
        <v/>
      </c>
      <c r="G14" s="615" t="str">
        <f>IF('Normal uger'!AO24&gt;0,'Normal uger'!AO24,"")</f>
        <v/>
      </c>
    </row>
    <row r="15" spans="1:7" ht="20" customHeight="1">
      <c r="A15" s="636" t="str">
        <f>IF('Normal uger'!AD25&gt;0,'Normal uger'!AD25,"")</f>
        <v/>
      </c>
      <c r="B15" s="32" t="str">
        <f>IF('Normal uger'!AE25&gt;0,'Normal uger'!AE25,"")</f>
        <v/>
      </c>
      <c r="C15" s="32" t="str">
        <f>IF('Normal uger'!AG25&gt;0,'Normal uger'!AG25,"")</f>
        <v/>
      </c>
      <c r="D15" s="32" t="str">
        <f>IF('Normal uger'!AI25&gt;0,'Normal uger'!AI25,"")</f>
        <v/>
      </c>
      <c r="E15" s="32" t="str">
        <f>IF('Normal uger'!AK25&gt;0,'Normal uger'!AK25,"")</f>
        <v/>
      </c>
      <c r="F15" s="32" t="str">
        <f>IF('Normal uger'!AM25&gt;0,'Normal uger'!AM25,"")</f>
        <v/>
      </c>
      <c r="G15" s="638" t="str">
        <f>IF('Normal uger'!AO25&gt;0,'Normal uger'!AO25,"")</f>
        <v/>
      </c>
    </row>
    <row r="16" spans="1:7" ht="20" customHeight="1">
      <c r="A16" s="634" t="str">
        <f>IF('Normal uger'!AD26&gt;0,'Normal uger'!AD26,"")</f>
        <v/>
      </c>
      <c r="B16" s="31" t="str">
        <f>IF('Normal uger'!AE26&gt;0,'Normal uger'!AE26,"")</f>
        <v/>
      </c>
      <c r="C16" s="31" t="str">
        <f>IF('Normal uger'!AG26&gt;0,'Normal uger'!AG26,"")</f>
        <v/>
      </c>
      <c r="D16" s="31" t="str">
        <f>IF('Normal uger'!AI26&gt;0,'Normal uger'!AI26,"")</f>
        <v/>
      </c>
      <c r="E16" s="31" t="str">
        <f>IF('Normal uger'!AK26&gt;0,'Normal uger'!AK26,"")</f>
        <v/>
      </c>
      <c r="F16" s="31" t="str">
        <f>IF('Normal uger'!AM26&gt;0,'Normal uger'!AM26,"")</f>
        <v/>
      </c>
      <c r="G16" s="615" t="str">
        <f>IF('Normal uger'!AO26&gt;0,'Normal uger'!AO26,"")</f>
        <v/>
      </c>
    </row>
    <row r="17" spans="1:7" ht="20" customHeight="1">
      <c r="A17" s="636" t="str">
        <f>IF('Normal uger'!AD27&gt;0,'Normal uger'!AD27,"")</f>
        <v/>
      </c>
      <c r="B17" s="32" t="str">
        <f>IF('Normal uger'!AE27&gt;0,'Normal uger'!AE27,"")</f>
        <v/>
      </c>
      <c r="C17" s="32" t="str">
        <f>IF('Normal uger'!AG27&gt;0,'Normal uger'!AG27,"")</f>
        <v/>
      </c>
      <c r="D17" s="32" t="str">
        <f>IF('Normal uger'!AI27&gt;0,'Normal uger'!AI27,"")</f>
        <v/>
      </c>
      <c r="E17" s="32" t="str">
        <f>IF('Normal uger'!AK27&gt;0,'Normal uger'!AK27,"")</f>
        <v/>
      </c>
      <c r="F17" s="32" t="str">
        <f>IF('Normal uger'!AM27&gt;0,'Normal uger'!AM27,"")</f>
        <v/>
      </c>
      <c r="G17" s="638" t="str">
        <f>IF('Normal uger'!AO27&gt;0,'Normal uger'!AO27,"")</f>
        <v/>
      </c>
    </row>
    <row r="18" spans="1:7" ht="20" customHeight="1">
      <c r="A18" s="634" t="str">
        <f>IF('Normal uger'!AD28&gt;0,'Normal uger'!AD28,"")</f>
        <v/>
      </c>
      <c r="B18" s="31" t="str">
        <f>IF('Normal uger'!AE28&gt;0,'Normal uger'!AE28,"")</f>
        <v/>
      </c>
      <c r="C18" s="31" t="str">
        <f>IF('Normal uger'!AG28&gt;0,'Normal uger'!AG28,"")</f>
        <v/>
      </c>
      <c r="D18" s="31" t="str">
        <f>IF('Normal uger'!AI28&gt;0,'Normal uger'!AI28,"")</f>
        <v/>
      </c>
      <c r="E18" s="31" t="str">
        <f>IF('Normal uger'!AK28&gt;0,'Normal uger'!AK28,"")</f>
        <v/>
      </c>
      <c r="F18" s="31" t="str">
        <f>IF('Normal uger'!AM28&gt;0,'Normal uger'!AM28,"")</f>
        <v/>
      </c>
      <c r="G18" s="615" t="str">
        <f>IF('Normal uger'!AO28&gt;0,'Normal uger'!AO28,"")</f>
        <v/>
      </c>
    </row>
    <row r="19" spans="1:7" ht="20" customHeight="1">
      <c r="A19" s="636" t="str">
        <f>IF('Normal uger'!AD29&gt;0,'Normal uger'!AD29,"")</f>
        <v/>
      </c>
      <c r="B19" s="32" t="str">
        <f>IF('Normal uger'!AE29&gt;0,'Normal uger'!AE29,"")</f>
        <v/>
      </c>
      <c r="C19" s="32" t="str">
        <f>IF('Normal uger'!AG29&gt;0,'Normal uger'!AG29,"")</f>
        <v/>
      </c>
      <c r="D19" s="32" t="str">
        <f>IF('Normal uger'!AI29&gt;0,'Normal uger'!AI29,"")</f>
        <v/>
      </c>
      <c r="E19" s="32" t="str">
        <f>IF('Normal uger'!AK29&gt;0,'Normal uger'!AK29,"")</f>
        <v/>
      </c>
      <c r="F19" s="32" t="str">
        <f>IF('Normal uger'!AM29&gt;0,'Normal uger'!AM29,"")</f>
        <v/>
      </c>
      <c r="G19" s="638" t="str">
        <f>IF('Normal uger'!AO29&gt;0,'Normal uger'!AO29,"")</f>
        <v/>
      </c>
    </row>
    <row r="20" spans="1:7" ht="20" customHeight="1">
      <c r="A20" s="634" t="str">
        <f>IF('Normal uger'!AD30&gt;0,'Normal uger'!AD30,"")</f>
        <v/>
      </c>
      <c r="B20" s="31" t="str">
        <f>IF('Normal uger'!AE30&gt;0,'Normal uger'!AE30,"")</f>
        <v/>
      </c>
      <c r="C20" s="31" t="str">
        <f>IF('Normal uger'!AG30&gt;0,'Normal uger'!AG30,"")</f>
        <v/>
      </c>
      <c r="D20" s="31" t="str">
        <f>IF('Normal uger'!AI30&gt;0,'Normal uger'!AI30,"")</f>
        <v/>
      </c>
      <c r="E20" s="31" t="str">
        <f>IF('Normal uger'!AK30&gt;0,'Normal uger'!AK30,"")</f>
        <v/>
      </c>
      <c r="F20" s="31" t="str">
        <f>IF('Normal uger'!AM30&gt;0,'Normal uger'!AM30,"")</f>
        <v/>
      </c>
      <c r="G20" s="615" t="str">
        <f>IF('Normal uger'!AO30&gt;0,'Normal uger'!AO30,"")</f>
        <v/>
      </c>
    </row>
    <row r="21" spans="1:7" ht="20" customHeight="1">
      <c r="A21" s="636" t="str">
        <f>IF('Normal uger'!AD31&gt;0,'Normal uger'!AD31,"")</f>
        <v/>
      </c>
      <c r="B21" s="32" t="str">
        <f>IF('Normal uger'!AE31&gt;0,'Normal uger'!AE31,"")</f>
        <v/>
      </c>
      <c r="C21" s="32" t="str">
        <f>IF('Normal uger'!AG31&gt;0,'Normal uger'!AG31,"")</f>
        <v/>
      </c>
      <c r="D21" s="32" t="str">
        <f>IF('Normal uger'!AI31&gt;0,'Normal uger'!AI31,"")</f>
        <v/>
      </c>
      <c r="E21" s="32" t="str">
        <f>IF('Normal uger'!AK31&gt;0,'Normal uger'!AK31,"")</f>
        <v/>
      </c>
      <c r="F21" s="32" t="str">
        <f>IF('Normal uger'!AM31&gt;0,'Normal uger'!AM31,"")</f>
        <v/>
      </c>
      <c r="G21" s="638" t="str">
        <f>IF('Normal uger'!AO31&gt;0,'Normal uger'!AO31,"")</f>
        <v/>
      </c>
    </row>
    <row r="22" spans="1:7" ht="20" customHeight="1">
      <c r="A22" s="634" t="str">
        <f>IF('Normal uger'!AD32&gt;0,'Normal uger'!AD32,"")</f>
        <v/>
      </c>
      <c r="B22" s="31" t="str">
        <f>IF('Normal uger'!AE32&gt;0,'Normal uger'!AE32,"")</f>
        <v/>
      </c>
      <c r="C22" s="31" t="str">
        <f>IF('Normal uger'!AG32&gt;0,'Normal uger'!AG32,"")</f>
        <v/>
      </c>
      <c r="D22" s="31" t="str">
        <f>IF('Normal uger'!AI32&gt;0,'Normal uger'!AI32,"")</f>
        <v/>
      </c>
      <c r="E22" s="31" t="str">
        <f>IF('Normal uger'!AK32&gt;0,'Normal uger'!AK32,"")</f>
        <v/>
      </c>
      <c r="F22" s="31" t="str">
        <f>IF('Normal uger'!AM32&gt;0,'Normal uger'!AM32,"")</f>
        <v/>
      </c>
      <c r="G22" s="615" t="str">
        <f>IF('Normal uger'!AO32&gt;0,'Normal uger'!AO32,"")</f>
        <v/>
      </c>
    </row>
    <row r="23" spans="1:7" ht="20" customHeight="1">
      <c r="A23" s="636" t="str">
        <f>IF('Normal uger'!AD33&gt;0,'Normal uger'!AD33,"")</f>
        <v/>
      </c>
      <c r="B23" s="32" t="str">
        <f>IF('Normal uger'!AE33&gt;0,'Normal uger'!AE33,"")</f>
        <v/>
      </c>
      <c r="C23" s="32" t="str">
        <f>IF('Normal uger'!AG33&gt;0,'Normal uger'!AG33,"")</f>
        <v/>
      </c>
      <c r="D23" s="32" t="str">
        <f>IF('Normal uger'!AI33&gt;0,'Normal uger'!AI33,"")</f>
        <v/>
      </c>
      <c r="E23" s="32" t="str">
        <f>IF('Normal uger'!AK33&gt;0,'Normal uger'!AK33,"")</f>
        <v/>
      </c>
      <c r="F23" s="32" t="str">
        <f>IF('Normal uger'!AM33&gt;0,'Normal uger'!AM33,"")</f>
        <v/>
      </c>
      <c r="G23" s="638" t="str">
        <f>IF('Normal uger'!AO33&gt;0,'Normal uger'!AO33,"")</f>
        <v/>
      </c>
    </row>
    <row r="24" spans="1:7" ht="20" customHeight="1">
      <c r="A24" s="634" t="str">
        <f>IF('Normal uger'!AD34&gt;0,'Normal uger'!AD34,"")</f>
        <v/>
      </c>
      <c r="B24" s="31" t="str">
        <f>IF('Normal uger'!AE34&gt;0,'Normal uger'!AE34,"")</f>
        <v/>
      </c>
      <c r="C24" s="31" t="str">
        <f>IF('Normal uger'!AG34&gt;0,'Normal uger'!AG34,"")</f>
        <v/>
      </c>
      <c r="D24" s="31" t="str">
        <f>IF('Normal uger'!AI34&gt;0,'Normal uger'!AI34,"")</f>
        <v/>
      </c>
      <c r="E24" s="31" t="str">
        <f>IF('Normal uger'!AK34&gt;0,'Normal uger'!AK34,"")</f>
        <v/>
      </c>
      <c r="F24" s="31" t="str">
        <f>IF('Normal uger'!AM34&gt;0,'Normal uger'!AM34,"")</f>
        <v/>
      </c>
      <c r="G24" s="615" t="str">
        <f>IF('Normal uger'!AO34&gt;0,'Normal uger'!AO34,"")</f>
        <v/>
      </c>
    </row>
    <row r="25" spans="1:7" ht="20" customHeight="1">
      <c r="A25" s="636" t="str">
        <f>IF('Normal uger'!AD35&gt;0,'Normal uger'!AD35,"")</f>
        <v/>
      </c>
      <c r="B25" s="32" t="str">
        <f>IF('Normal uger'!AE35&gt;0,'Normal uger'!AE35,"")</f>
        <v/>
      </c>
      <c r="C25" s="32" t="str">
        <f>IF('Normal uger'!AG35&gt;0,'Normal uger'!AG35,"")</f>
        <v/>
      </c>
      <c r="D25" s="32" t="str">
        <f>IF('Normal uger'!AI35&gt;0,'Normal uger'!AI35,"")</f>
        <v/>
      </c>
      <c r="E25" s="32" t="str">
        <f>IF('Normal uger'!AK35&gt;0,'Normal uger'!AK35,"")</f>
        <v/>
      </c>
      <c r="F25" s="32" t="str">
        <f>IF('Normal uger'!AM35&gt;0,'Normal uger'!AM35,"")</f>
        <v/>
      </c>
      <c r="G25" s="638" t="str">
        <f>IF('Normal uger'!AO35&gt;0,'Normal uger'!AO35,"")</f>
        <v/>
      </c>
    </row>
    <row r="26" spans="1:7" ht="20" customHeight="1">
      <c r="A26" s="634" t="str">
        <f>IF('Normal uger'!AD36&gt;0,'Normal uger'!AD36,"")</f>
        <v/>
      </c>
      <c r="B26" s="31" t="str">
        <f>IF('Normal uger'!AE36&gt;0,'Normal uger'!AE36,"")</f>
        <v/>
      </c>
      <c r="C26" s="31" t="str">
        <f>IF('Normal uger'!AG36&gt;0,'Normal uger'!AG36,"")</f>
        <v/>
      </c>
      <c r="D26" s="31" t="str">
        <f>IF('Normal uger'!AI36&gt;0,'Normal uger'!AI36,"")</f>
        <v/>
      </c>
      <c r="E26" s="31" t="str">
        <f>IF('Normal uger'!AK36&gt;0,'Normal uger'!AK36,"")</f>
        <v/>
      </c>
      <c r="F26" s="31" t="str">
        <f>IF('Normal uger'!AM36&gt;0,'Normal uger'!AM36,"")</f>
        <v/>
      </c>
      <c r="G26" s="615" t="str">
        <f>IF('Normal uger'!AO36&gt;0,'Normal uger'!AO36,"")</f>
        <v/>
      </c>
    </row>
    <row r="27" spans="1:7" ht="20" customHeight="1">
      <c r="A27" s="636" t="str">
        <f>IF('Normal uger'!AD37&gt;0,'Normal uger'!AD37,"")</f>
        <v/>
      </c>
      <c r="B27" s="32" t="str">
        <f>IF('Normal uger'!AE37&gt;0,'Normal uger'!AE37,"")</f>
        <v/>
      </c>
      <c r="C27" s="32" t="str">
        <f>IF('Normal uger'!AG37&gt;0,'Normal uger'!AG37,"")</f>
        <v/>
      </c>
      <c r="D27" s="32" t="str">
        <f>IF('Normal uger'!AI37&gt;0,'Normal uger'!AI37,"")</f>
        <v/>
      </c>
      <c r="E27" s="32" t="str">
        <f>IF('Normal uger'!AK37&gt;0,'Normal uger'!AK37,"")</f>
        <v/>
      </c>
      <c r="F27" s="32" t="str">
        <f>IF('Normal uger'!AM37&gt;0,'Normal uger'!AM37,"")</f>
        <v/>
      </c>
      <c r="G27" s="638" t="str">
        <f>IF('Normal uger'!AO37&gt;0,'Normal uger'!AO37,"")</f>
        <v/>
      </c>
    </row>
    <row r="28" spans="1:7" ht="20" customHeight="1">
      <c r="A28" s="634" t="str">
        <f>IF('Normal uger'!AD38&gt;0,'Normal uger'!AD38,"")</f>
        <v/>
      </c>
      <c r="B28" s="31" t="str">
        <f>IF('Normal uger'!AE38&gt;0,'Normal uger'!AE38,"")</f>
        <v/>
      </c>
      <c r="C28" s="31" t="str">
        <f>IF('Normal uger'!AG38&gt;0,'Normal uger'!AG38,"")</f>
        <v/>
      </c>
      <c r="D28" s="31" t="str">
        <f>IF('Normal uger'!AI38&gt;0,'Normal uger'!AI38,"")</f>
        <v/>
      </c>
      <c r="E28" s="31" t="str">
        <f>IF('Normal uger'!AK38&gt;0,'Normal uger'!AK38,"")</f>
        <v/>
      </c>
      <c r="F28" s="31" t="str">
        <f>IF('Normal uger'!AM38&gt;0,'Normal uger'!AM38,"")</f>
        <v/>
      </c>
      <c r="G28" s="615" t="str">
        <f>IF('Normal uger'!AO38&gt;0,'Normal uger'!AO38,"")</f>
        <v/>
      </c>
    </row>
    <row r="29" spans="1:7" ht="20" customHeight="1">
      <c r="A29" s="636" t="str">
        <f>IF('Normal uger'!AD39&gt;0,'Normal uger'!AD39,"")</f>
        <v/>
      </c>
      <c r="B29" s="32" t="str">
        <f>IF('Normal uger'!AE39&gt;0,'Normal uger'!AE39,"")</f>
        <v/>
      </c>
      <c r="C29" s="32" t="str">
        <f>IF('Normal uger'!AG39&gt;0,'Normal uger'!AG39,"")</f>
        <v/>
      </c>
      <c r="D29" s="32" t="str">
        <f>IF('Normal uger'!AI39&gt;0,'Normal uger'!AI39,"")</f>
        <v/>
      </c>
      <c r="E29" s="32" t="str">
        <f>IF('Normal uger'!AK39&gt;0,'Normal uger'!AK39,"")</f>
        <v/>
      </c>
      <c r="F29" s="32" t="str">
        <f>IF('Normal uger'!AM39&gt;0,'Normal uger'!AM39,"")</f>
        <v/>
      </c>
      <c r="G29" s="638" t="str">
        <f>IF('Normal uger'!AO39&gt;0,'Normal uger'!AO39,"")</f>
        <v/>
      </c>
    </row>
    <row r="30" spans="1:7" ht="20" customHeight="1">
      <c r="A30" s="634" t="str">
        <f>IF('Normal uger'!AD40&gt;0,'Normal uger'!AD40,"")</f>
        <v/>
      </c>
      <c r="B30" s="31" t="str">
        <f>IF('Normal uger'!AE40&gt;0,'Normal uger'!AE40,"")</f>
        <v/>
      </c>
      <c r="C30" s="31" t="str">
        <f>IF('Normal uger'!AG40&gt;0,'Normal uger'!AG40,"")</f>
        <v/>
      </c>
      <c r="D30" s="31" t="str">
        <f>IF('Normal uger'!AI40&gt;0,'Normal uger'!AI40,"")</f>
        <v/>
      </c>
      <c r="E30" s="31" t="str">
        <f>IF('Normal uger'!AK40&gt;0,'Normal uger'!AK40,"")</f>
        <v/>
      </c>
      <c r="F30" s="31" t="str">
        <f>IF('Normal uger'!AM40&gt;0,'Normal uger'!AM40,"")</f>
        <v/>
      </c>
      <c r="G30" s="615" t="str">
        <f>IF('Normal uger'!AO40&gt;0,'Normal uger'!AO40,"")</f>
        <v/>
      </c>
    </row>
    <row r="31" spans="1:7" ht="20" customHeight="1" thickBot="1">
      <c r="A31" s="687" t="str">
        <f>IF('Normal uger'!AD41&gt;0,'Normal uger'!AD41,"")</f>
        <v/>
      </c>
      <c r="B31" s="688" t="str">
        <f>IF('Normal uger'!AE41&gt;0,'Normal uger'!AE41,"")</f>
        <v/>
      </c>
      <c r="C31" s="688" t="str">
        <f>IF('Normal uger'!AG41&gt;0,'Normal uger'!AG41,"")</f>
        <v/>
      </c>
      <c r="D31" s="688" t="str">
        <f>IF('Normal uger'!AI41&gt;0,'Normal uger'!AI41,"")</f>
        <v/>
      </c>
      <c r="E31" s="688" t="str">
        <f>IF('Normal uger'!AK41&gt;0,'Normal uger'!AK41,"")</f>
        <v/>
      </c>
      <c r="F31" s="688" t="str">
        <f>IF('Normal uger'!AM41&gt;0,'Normal uger'!AM41,"")</f>
        <v/>
      </c>
      <c r="G31" s="689" t="str">
        <f>IF('Normal uger'!AO41&gt;0,'Normal uger'!AO41,"")</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pageSetUpPr fitToPage="1"/>
  </sheetPr>
  <dimension ref="A1:G31"/>
  <sheetViews>
    <sheetView showZeros="0" workbookViewId="0">
      <selection activeCell="H24" sqref="H24"/>
    </sheetView>
  </sheetViews>
  <sheetFormatPr baseColWidth="10" defaultRowHeight="16"/>
  <cols>
    <col min="3" max="7" width="15.83203125" customWidth="1"/>
  </cols>
  <sheetData>
    <row r="1" spans="1:7" ht="32" customHeight="1">
      <c r="A1" s="844" t="str">
        <f>""&amp;'Normal uger'!AQ8&amp;""</f>
        <v xml:space="preserve">Normaluge 4 - </v>
      </c>
      <c r="B1" s="845"/>
      <c r="C1" s="845"/>
      <c r="D1" s="845"/>
      <c r="E1" s="845"/>
      <c r="F1" s="845"/>
      <c r="G1" s="846"/>
    </row>
    <row r="2" spans="1:7" ht="32" customHeight="1">
      <c r="A2" s="972" t="s">
        <v>114</v>
      </c>
      <c r="B2" s="973"/>
      <c r="C2" s="973"/>
      <c r="D2" s="1175">
        <f>'Normal uger'!AV10</f>
        <v>0</v>
      </c>
      <c r="E2" s="1175"/>
      <c r="F2" s="1175">
        <f>'Normal uger'!AZ10</f>
        <v>0</v>
      </c>
      <c r="G2" s="1176"/>
    </row>
    <row r="3" spans="1:7" ht="32" customHeight="1">
      <c r="A3" s="633" t="s">
        <v>55</v>
      </c>
      <c r="B3" s="153" t="s">
        <v>56</v>
      </c>
      <c r="C3" s="154" t="s">
        <v>31</v>
      </c>
      <c r="D3" s="154" t="s">
        <v>32</v>
      </c>
      <c r="E3" s="154" t="s">
        <v>33</v>
      </c>
      <c r="F3" s="154" t="s">
        <v>34</v>
      </c>
      <c r="G3" s="155" t="s">
        <v>35</v>
      </c>
    </row>
    <row r="4" spans="1:7" ht="20" customHeight="1">
      <c r="A4" s="634" t="str">
        <f>IF('Normal uger'!AR14&gt;0,'Normal uger'!AR14,"")</f>
        <v/>
      </c>
      <c r="B4" s="31" t="str">
        <f>IF('Normal uger'!AS14&gt;0,'Normal uger'!AS14,"")</f>
        <v/>
      </c>
      <c r="C4" s="31" t="str">
        <f>IF('Normal uger'!AU14&gt;0,'Normal uger'!AU14,"")</f>
        <v/>
      </c>
      <c r="D4" s="31" t="str">
        <f>IF('Normal uger'!AW14&gt;0,'Normal uger'!AW14,"")</f>
        <v/>
      </c>
      <c r="E4" s="31" t="str">
        <f>IF('Normal uger'!AY14&gt;0,'Normal uger'!AY14,"")</f>
        <v/>
      </c>
      <c r="F4" s="31" t="str">
        <f>IF('Normal uger'!BA14&gt;0,'Normal uger'!BA14,"")</f>
        <v/>
      </c>
      <c r="G4" s="615" t="str">
        <f>IF('Normal uger'!BC14&gt;0,'Normal uger'!BC14,"")</f>
        <v/>
      </c>
    </row>
    <row r="5" spans="1:7" ht="20" customHeight="1">
      <c r="A5" s="636" t="str">
        <f>IF('Normal uger'!AR15&gt;0,'Normal uger'!AR15,"")</f>
        <v/>
      </c>
      <c r="B5" s="32" t="str">
        <f>IF('Normal uger'!AS15&gt;0,'Normal uger'!AS15,"")</f>
        <v/>
      </c>
      <c r="C5" s="32" t="str">
        <f>IF('Normal uger'!AU15&gt;0,'Normal uger'!AU15,"")</f>
        <v/>
      </c>
      <c r="D5" s="32" t="str">
        <f>IF('Normal uger'!AW15&gt;0,'Normal uger'!AW15,"")</f>
        <v/>
      </c>
      <c r="E5" s="32" t="str">
        <f>IF('Normal uger'!AY15&gt;0,'Normal uger'!AY15,"")</f>
        <v/>
      </c>
      <c r="F5" s="32" t="str">
        <f>IF('Normal uger'!BA15&gt;0,'Normal uger'!BA15,"")</f>
        <v/>
      </c>
      <c r="G5" s="638" t="str">
        <f>IF('Normal uger'!BC15&gt;0,'Normal uger'!BC15,"")</f>
        <v/>
      </c>
    </row>
    <row r="6" spans="1:7" ht="20" customHeight="1">
      <c r="A6" s="634" t="str">
        <f>IF('Normal uger'!AR16&gt;0,'Normal uger'!AR16,"")</f>
        <v/>
      </c>
      <c r="B6" s="31" t="str">
        <f>IF('Normal uger'!AS16&gt;0,'Normal uger'!AS16,"")</f>
        <v/>
      </c>
      <c r="C6" s="31" t="str">
        <f>IF('Normal uger'!AU16&gt;0,'Normal uger'!AU16,"")</f>
        <v/>
      </c>
      <c r="D6" s="31" t="str">
        <f>IF('Normal uger'!AW16&gt;0,'Normal uger'!AW16,"")</f>
        <v/>
      </c>
      <c r="E6" s="31" t="str">
        <f>IF('Normal uger'!AY16&gt;0,'Normal uger'!AY16,"")</f>
        <v/>
      </c>
      <c r="F6" s="31" t="str">
        <f>IF('Normal uger'!BA16&gt;0,'Normal uger'!BA16,"")</f>
        <v/>
      </c>
      <c r="G6" s="615" t="str">
        <f>IF('Normal uger'!BC16&gt;0,'Normal uger'!BC16,"")</f>
        <v/>
      </c>
    </row>
    <row r="7" spans="1:7" ht="20" customHeight="1">
      <c r="A7" s="636" t="str">
        <f>IF('Normal uger'!AR17&gt;0,'Normal uger'!AR17,"")</f>
        <v/>
      </c>
      <c r="B7" s="32" t="str">
        <f>IF('Normal uger'!AS17&gt;0,'Normal uger'!AS17,"")</f>
        <v/>
      </c>
      <c r="C7" s="32" t="str">
        <f>IF('Normal uger'!AU17&gt;0,'Normal uger'!AU17,"")</f>
        <v/>
      </c>
      <c r="D7" s="32" t="str">
        <f>IF('Normal uger'!AW17&gt;0,'Normal uger'!AW17,"")</f>
        <v/>
      </c>
      <c r="E7" s="32" t="str">
        <f>IF('Normal uger'!AY17&gt;0,'Normal uger'!AY17,"")</f>
        <v/>
      </c>
      <c r="F7" s="32" t="str">
        <f>IF('Normal uger'!BA17&gt;0,'Normal uger'!BA17,"")</f>
        <v/>
      </c>
      <c r="G7" s="638" t="str">
        <f>IF('Normal uger'!BC17&gt;0,'Normal uger'!BC17,"")</f>
        <v/>
      </c>
    </row>
    <row r="8" spans="1:7" ht="20" customHeight="1">
      <c r="A8" s="634" t="str">
        <f>IF('Normal uger'!AR18&gt;0,'Normal uger'!AR18,"")</f>
        <v/>
      </c>
      <c r="B8" s="31" t="str">
        <f>IF('Normal uger'!AS18&gt;0,'Normal uger'!AS18,"")</f>
        <v/>
      </c>
      <c r="C8" s="31" t="str">
        <f>IF('Normal uger'!AU18&gt;0,'Normal uger'!AU18,"")</f>
        <v/>
      </c>
      <c r="D8" s="31" t="str">
        <f>IF('Normal uger'!AW18&gt;0,'Normal uger'!AW18,"")</f>
        <v/>
      </c>
      <c r="E8" s="31" t="str">
        <f>IF('Normal uger'!AY18&gt;0,'Normal uger'!AY18,"")</f>
        <v/>
      </c>
      <c r="F8" s="31" t="str">
        <f>IF('Normal uger'!BA18&gt;0,'Normal uger'!BA18,"")</f>
        <v/>
      </c>
      <c r="G8" s="615" t="str">
        <f>IF('Normal uger'!BC18&gt;0,'Normal uger'!BC18,"")</f>
        <v/>
      </c>
    </row>
    <row r="9" spans="1:7" ht="20" customHeight="1">
      <c r="A9" s="636" t="str">
        <f>IF('Normal uger'!AR19&gt;0,'Normal uger'!AR19,"")</f>
        <v/>
      </c>
      <c r="B9" s="32" t="str">
        <f>IF('Normal uger'!AS19&gt;0,'Normal uger'!AS19,"")</f>
        <v/>
      </c>
      <c r="C9" s="32" t="str">
        <f>IF('Normal uger'!AU19&gt;0,'Normal uger'!AU19,"")</f>
        <v/>
      </c>
      <c r="D9" s="32" t="str">
        <f>IF('Normal uger'!AW19&gt;0,'Normal uger'!AW19,"")</f>
        <v/>
      </c>
      <c r="E9" s="32" t="str">
        <f>IF('Normal uger'!AY19&gt;0,'Normal uger'!AY19,"")</f>
        <v/>
      </c>
      <c r="F9" s="32" t="str">
        <f>IF('Normal uger'!BA19&gt;0,'Normal uger'!BA19,"")</f>
        <v/>
      </c>
      <c r="G9" s="638" t="str">
        <f>IF('Normal uger'!BC19&gt;0,'Normal uger'!BC19,"")</f>
        <v/>
      </c>
    </row>
    <row r="10" spans="1:7" ht="20" customHeight="1">
      <c r="A10" s="634" t="str">
        <f>IF('Normal uger'!AR20&gt;0,'Normal uger'!AR20,"")</f>
        <v/>
      </c>
      <c r="B10" s="31" t="str">
        <f>IF('Normal uger'!AS20&gt;0,'Normal uger'!AS20,"")</f>
        <v/>
      </c>
      <c r="C10" s="31" t="str">
        <f>IF('Normal uger'!AU20&gt;0,'Normal uger'!AU20,"")</f>
        <v/>
      </c>
      <c r="D10" s="31" t="str">
        <f>IF('Normal uger'!AW20&gt;0,'Normal uger'!AW20,"")</f>
        <v/>
      </c>
      <c r="E10" s="31" t="str">
        <f>IF('Normal uger'!AY20&gt;0,'Normal uger'!AY20,"")</f>
        <v/>
      </c>
      <c r="F10" s="31" t="str">
        <f>IF('Normal uger'!BA20&gt;0,'Normal uger'!BA20,"")</f>
        <v/>
      </c>
      <c r="G10" s="615" t="str">
        <f>IF('Normal uger'!BC20&gt;0,'Normal uger'!BC20,"")</f>
        <v/>
      </c>
    </row>
    <row r="11" spans="1:7" ht="20" customHeight="1">
      <c r="A11" s="636" t="str">
        <f>IF('Normal uger'!AR21&gt;0,'Normal uger'!AR21,"")</f>
        <v/>
      </c>
      <c r="B11" s="32" t="str">
        <f>IF('Normal uger'!AS21&gt;0,'Normal uger'!AS21,"")</f>
        <v/>
      </c>
      <c r="C11" s="32" t="str">
        <f>IF('Normal uger'!AU21&gt;0,'Normal uger'!AU21,"")</f>
        <v/>
      </c>
      <c r="D11" s="32" t="str">
        <f>IF('Normal uger'!AW21&gt;0,'Normal uger'!AW21,"")</f>
        <v/>
      </c>
      <c r="E11" s="32" t="str">
        <f>IF('Normal uger'!AY21&gt;0,'Normal uger'!AY21,"")</f>
        <v/>
      </c>
      <c r="F11" s="32" t="str">
        <f>IF('Normal uger'!BA21&gt;0,'Normal uger'!BA21,"")</f>
        <v/>
      </c>
      <c r="G11" s="638" t="str">
        <f>IF('Normal uger'!BC21&gt;0,'Normal uger'!BC21,"")</f>
        <v/>
      </c>
    </row>
    <row r="12" spans="1:7" ht="20" customHeight="1">
      <c r="A12" s="634" t="str">
        <f>IF('Normal uger'!AR22&gt;0,'Normal uger'!AR22,"")</f>
        <v/>
      </c>
      <c r="B12" s="31" t="str">
        <f>IF('Normal uger'!AS22&gt;0,'Normal uger'!AS22,"")</f>
        <v/>
      </c>
      <c r="C12" s="31" t="str">
        <f>IF('Normal uger'!AU22&gt;0,'Normal uger'!AU22,"")</f>
        <v/>
      </c>
      <c r="D12" s="31" t="str">
        <f>IF('Normal uger'!AW22&gt;0,'Normal uger'!AW22,"")</f>
        <v/>
      </c>
      <c r="E12" s="31" t="str">
        <f>IF('Normal uger'!AY22&gt;0,'Normal uger'!AY22,"")</f>
        <v/>
      </c>
      <c r="F12" s="31" t="str">
        <f>IF('Normal uger'!BA22&gt;0,'Normal uger'!BA22,"")</f>
        <v/>
      </c>
      <c r="G12" s="615" t="str">
        <f>IF('Normal uger'!BC22&gt;0,'Normal uger'!BC22,"")</f>
        <v/>
      </c>
    </row>
    <row r="13" spans="1:7" ht="20" customHeight="1">
      <c r="A13" s="636" t="str">
        <f>IF('Normal uger'!AR23&gt;0,'Normal uger'!AR23,"")</f>
        <v/>
      </c>
      <c r="B13" s="32" t="str">
        <f>IF('Normal uger'!AS23&gt;0,'Normal uger'!AS23,"")</f>
        <v/>
      </c>
      <c r="C13" s="32" t="str">
        <f>IF('Normal uger'!AU23&gt;0,'Normal uger'!AU23,"")</f>
        <v/>
      </c>
      <c r="D13" s="32" t="str">
        <f>IF('Normal uger'!AW23&gt;0,'Normal uger'!AW23,"")</f>
        <v/>
      </c>
      <c r="E13" s="32" t="str">
        <f>IF('Normal uger'!AY23&gt;0,'Normal uger'!AY23,"")</f>
        <v/>
      </c>
      <c r="F13" s="32" t="str">
        <f>IF('Normal uger'!BA23&gt;0,'Normal uger'!BA23,"")</f>
        <v/>
      </c>
      <c r="G13" s="638" t="str">
        <f>IF('Normal uger'!BC23&gt;0,'Normal uger'!BC23,"")</f>
        <v/>
      </c>
    </row>
    <row r="14" spans="1:7" ht="20" customHeight="1">
      <c r="A14" s="634" t="str">
        <f>IF('Normal uger'!AR24&gt;0,'Normal uger'!AR24,"")</f>
        <v/>
      </c>
      <c r="B14" s="31" t="str">
        <f>IF('Normal uger'!AS24&gt;0,'Normal uger'!AS24,"")</f>
        <v/>
      </c>
      <c r="C14" s="31" t="str">
        <f>IF('Normal uger'!AU24&gt;0,'Normal uger'!AU24,"")</f>
        <v/>
      </c>
      <c r="D14" s="31" t="str">
        <f>IF('Normal uger'!AW24&gt;0,'Normal uger'!AW24,"")</f>
        <v/>
      </c>
      <c r="E14" s="31" t="str">
        <f>IF('Normal uger'!AY24&gt;0,'Normal uger'!AY24,"")</f>
        <v/>
      </c>
      <c r="F14" s="31" t="str">
        <f>IF('Normal uger'!BA24&gt;0,'Normal uger'!BA24,"")</f>
        <v/>
      </c>
      <c r="G14" s="615" t="str">
        <f>IF('Normal uger'!BC24&gt;0,'Normal uger'!BC24,"")</f>
        <v/>
      </c>
    </row>
    <row r="15" spans="1:7" ht="20" customHeight="1">
      <c r="A15" s="636" t="str">
        <f>IF('Normal uger'!AR25&gt;0,'Normal uger'!AR25,"")</f>
        <v/>
      </c>
      <c r="B15" s="32" t="str">
        <f>IF('Normal uger'!AS25&gt;0,'Normal uger'!AS25,"")</f>
        <v/>
      </c>
      <c r="C15" s="32" t="str">
        <f>IF('Normal uger'!AU25&gt;0,'Normal uger'!AU25,"")</f>
        <v/>
      </c>
      <c r="D15" s="32" t="str">
        <f>IF('Normal uger'!AW25&gt;0,'Normal uger'!AW25,"")</f>
        <v/>
      </c>
      <c r="E15" s="32" t="str">
        <f>IF('Normal uger'!AY25&gt;0,'Normal uger'!AY25,"")</f>
        <v/>
      </c>
      <c r="F15" s="32" t="str">
        <f>IF('Normal uger'!BA25&gt;0,'Normal uger'!BA25,"")</f>
        <v/>
      </c>
      <c r="G15" s="638" t="str">
        <f>IF('Normal uger'!BC25&gt;0,'Normal uger'!BC25,"")</f>
        <v/>
      </c>
    </row>
    <row r="16" spans="1:7" ht="20" customHeight="1">
      <c r="A16" s="634" t="str">
        <f>IF('Normal uger'!AR26&gt;0,'Normal uger'!AR26,"")</f>
        <v/>
      </c>
      <c r="B16" s="31" t="str">
        <f>IF('Normal uger'!AS26&gt;0,'Normal uger'!AS26,"")</f>
        <v/>
      </c>
      <c r="C16" s="31" t="str">
        <f>IF('Normal uger'!AU26&gt;0,'Normal uger'!AU26,"")</f>
        <v/>
      </c>
      <c r="D16" s="31" t="str">
        <f>IF('Normal uger'!AW26&gt;0,'Normal uger'!AW26,"")</f>
        <v/>
      </c>
      <c r="E16" s="31" t="str">
        <f>IF('Normal uger'!AY26&gt;0,'Normal uger'!AY26,"")</f>
        <v/>
      </c>
      <c r="F16" s="31" t="str">
        <f>IF('Normal uger'!BA26&gt;0,'Normal uger'!BA26,"")</f>
        <v/>
      </c>
      <c r="G16" s="615" t="str">
        <f>IF('Normal uger'!BC26&gt;0,'Normal uger'!BC26,"")</f>
        <v/>
      </c>
    </row>
    <row r="17" spans="1:7" ht="20" customHeight="1">
      <c r="A17" s="636" t="str">
        <f>IF('Normal uger'!AR27&gt;0,'Normal uger'!AR27,"")</f>
        <v/>
      </c>
      <c r="B17" s="32" t="str">
        <f>IF('Normal uger'!AS27&gt;0,'Normal uger'!AS27,"")</f>
        <v/>
      </c>
      <c r="C17" s="32" t="str">
        <f>IF('Normal uger'!AU27&gt;0,'Normal uger'!AU27,"")</f>
        <v/>
      </c>
      <c r="D17" s="32" t="str">
        <f>IF('Normal uger'!AW27&gt;0,'Normal uger'!AW27,"")</f>
        <v/>
      </c>
      <c r="E17" s="32" t="str">
        <f>IF('Normal uger'!AY27&gt;0,'Normal uger'!AY27,"")</f>
        <v/>
      </c>
      <c r="F17" s="32" t="str">
        <f>IF('Normal uger'!BA27&gt;0,'Normal uger'!BA27,"")</f>
        <v/>
      </c>
      <c r="G17" s="638" t="str">
        <f>IF('Normal uger'!BC27&gt;0,'Normal uger'!BC27,"")</f>
        <v/>
      </c>
    </row>
    <row r="18" spans="1:7" ht="20" customHeight="1">
      <c r="A18" s="634" t="str">
        <f>IF('Normal uger'!AR28&gt;0,'Normal uger'!AR28,"")</f>
        <v/>
      </c>
      <c r="B18" s="31" t="str">
        <f>IF('Normal uger'!AS28&gt;0,'Normal uger'!AS28,"")</f>
        <v/>
      </c>
      <c r="C18" s="31" t="str">
        <f>IF('Normal uger'!AU28&gt;0,'Normal uger'!AU28,"")</f>
        <v/>
      </c>
      <c r="D18" s="31" t="str">
        <f>IF('Normal uger'!AW28&gt;0,'Normal uger'!AW28,"")</f>
        <v/>
      </c>
      <c r="E18" s="31" t="str">
        <f>IF('Normal uger'!AY28&gt;0,'Normal uger'!AY28,"")</f>
        <v/>
      </c>
      <c r="F18" s="31" t="str">
        <f>IF('Normal uger'!BA28&gt;0,'Normal uger'!BA28,"")</f>
        <v/>
      </c>
      <c r="G18" s="615" t="str">
        <f>IF('Normal uger'!BC28&gt;0,'Normal uger'!BC28,"")</f>
        <v/>
      </c>
    </row>
    <row r="19" spans="1:7" ht="20" customHeight="1">
      <c r="A19" s="636" t="str">
        <f>IF('Normal uger'!AR29&gt;0,'Normal uger'!AR29,"")</f>
        <v/>
      </c>
      <c r="B19" s="32" t="str">
        <f>IF('Normal uger'!AS29&gt;0,'Normal uger'!AS29,"")</f>
        <v/>
      </c>
      <c r="C19" s="32" t="str">
        <f>IF('Normal uger'!AU29&gt;0,'Normal uger'!AU29,"")</f>
        <v/>
      </c>
      <c r="D19" s="32" t="str">
        <f>IF('Normal uger'!AW29&gt;0,'Normal uger'!AW29,"")</f>
        <v/>
      </c>
      <c r="E19" s="32" t="str">
        <f>IF('Normal uger'!AY29&gt;0,'Normal uger'!AY29,"")</f>
        <v/>
      </c>
      <c r="F19" s="32" t="str">
        <f>IF('Normal uger'!BA29&gt;0,'Normal uger'!BA29,"")</f>
        <v/>
      </c>
      <c r="G19" s="638" t="str">
        <f>IF('Normal uger'!BC29&gt;0,'Normal uger'!BC29,"")</f>
        <v/>
      </c>
    </row>
    <row r="20" spans="1:7" ht="20" customHeight="1">
      <c r="A20" s="634" t="str">
        <f>IF('Normal uger'!AR30&gt;0,'Normal uger'!AR30,"")</f>
        <v/>
      </c>
      <c r="B20" s="31" t="str">
        <f>IF('Normal uger'!AS30&gt;0,'Normal uger'!AS30,"")</f>
        <v/>
      </c>
      <c r="C20" s="31" t="str">
        <f>IF('Normal uger'!AU30&gt;0,'Normal uger'!AU30,"")</f>
        <v/>
      </c>
      <c r="D20" s="31" t="str">
        <f>IF('Normal uger'!AW30&gt;0,'Normal uger'!AW30,"")</f>
        <v/>
      </c>
      <c r="E20" s="31" t="str">
        <f>IF('Normal uger'!AY30&gt;0,'Normal uger'!AY30,"")</f>
        <v/>
      </c>
      <c r="F20" s="31" t="str">
        <f>IF('Normal uger'!BA30&gt;0,'Normal uger'!BA30,"")</f>
        <v/>
      </c>
      <c r="G20" s="615" t="str">
        <f>IF('Normal uger'!BC30&gt;0,'Normal uger'!BC30,"")</f>
        <v/>
      </c>
    </row>
    <row r="21" spans="1:7" ht="20" customHeight="1">
      <c r="A21" s="636" t="str">
        <f>IF('Normal uger'!AR31&gt;0,'Normal uger'!AR31,"")</f>
        <v/>
      </c>
      <c r="B21" s="32" t="str">
        <f>IF('Normal uger'!AS31&gt;0,'Normal uger'!AS31,"")</f>
        <v/>
      </c>
      <c r="C21" s="32" t="str">
        <f>IF('Normal uger'!AU31&gt;0,'Normal uger'!AU31,"")</f>
        <v/>
      </c>
      <c r="D21" s="32" t="str">
        <f>IF('Normal uger'!AW31&gt;0,'Normal uger'!AW31,"")</f>
        <v/>
      </c>
      <c r="E21" s="32" t="str">
        <f>IF('Normal uger'!AY31&gt;0,'Normal uger'!AY31,"")</f>
        <v/>
      </c>
      <c r="F21" s="32" t="str">
        <f>IF('Normal uger'!BA31&gt;0,'Normal uger'!BA31,"")</f>
        <v/>
      </c>
      <c r="G21" s="638" t="str">
        <f>IF('Normal uger'!BC31&gt;0,'Normal uger'!BC31,"")</f>
        <v/>
      </c>
    </row>
    <row r="22" spans="1:7" ht="20" customHeight="1">
      <c r="A22" s="634" t="str">
        <f>IF('Normal uger'!AR32&gt;0,'Normal uger'!AR32,"")</f>
        <v/>
      </c>
      <c r="B22" s="31" t="str">
        <f>IF('Normal uger'!AS32&gt;0,'Normal uger'!AS32,"")</f>
        <v/>
      </c>
      <c r="C22" s="31" t="str">
        <f>IF('Normal uger'!AU32&gt;0,'Normal uger'!AU32,"")</f>
        <v/>
      </c>
      <c r="D22" s="31" t="str">
        <f>IF('Normal uger'!AW32&gt;0,'Normal uger'!AW32,"")</f>
        <v/>
      </c>
      <c r="E22" s="31" t="str">
        <f>IF('Normal uger'!AY32&gt;0,'Normal uger'!AY32,"")</f>
        <v/>
      </c>
      <c r="F22" s="31" t="str">
        <f>IF('Normal uger'!BA32&gt;0,'Normal uger'!BA32,"")</f>
        <v/>
      </c>
      <c r="G22" s="615" t="str">
        <f>IF('Normal uger'!BC32&gt;0,'Normal uger'!BC32,"")</f>
        <v/>
      </c>
    </row>
    <row r="23" spans="1:7" ht="20" customHeight="1">
      <c r="A23" s="636" t="str">
        <f>IF('Normal uger'!AR33&gt;0,'Normal uger'!AR33,"")</f>
        <v/>
      </c>
      <c r="B23" s="32" t="str">
        <f>IF('Normal uger'!AS33&gt;0,'Normal uger'!AS33,"")</f>
        <v/>
      </c>
      <c r="C23" s="32" t="str">
        <f>IF('Normal uger'!AU33&gt;0,'Normal uger'!AU33,"")</f>
        <v/>
      </c>
      <c r="D23" s="32" t="str">
        <f>IF('Normal uger'!AW33&gt;0,'Normal uger'!AW33,"")</f>
        <v/>
      </c>
      <c r="E23" s="32" t="str">
        <f>IF('Normal uger'!AY33&gt;0,'Normal uger'!AY33,"")</f>
        <v/>
      </c>
      <c r="F23" s="32" t="str">
        <f>IF('Normal uger'!BA33&gt;0,'Normal uger'!BA33,"")</f>
        <v/>
      </c>
      <c r="G23" s="638" t="str">
        <f>IF('Normal uger'!BC33&gt;0,'Normal uger'!BC33,"")</f>
        <v/>
      </c>
    </row>
    <row r="24" spans="1:7" ht="20" customHeight="1">
      <c r="A24" s="634" t="str">
        <f>IF('Normal uger'!AR34&gt;0,'Normal uger'!AR34,"")</f>
        <v/>
      </c>
      <c r="B24" s="31" t="str">
        <f>IF('Normal uger'!AS34&gt;0,'Normal uger'!AS34,"")</f>
        <v/>
      </c>
      <c r="C24" s="31" t="str">
        <f>IF('Normal uger'!AU34&gt;0,'Normal uger'!AU34,"")</f>
        <v/>
      </c>
      <c r="D24" s="31" t="str">
        <f>IF('Normal uger'!AW34&gt;0,'Normal uger'!AW34,"")</f>
        <v/>
      </c>
      <c r="E24" s="31" t="str">
        <f>IF('Normal uger'!AY34&gt;0,'Normal uger'!AY34,"")</f>
        <v/>
      </c>
      <c r="F24" s="31" t="str">
        <f>IF('Normal uger'!BA34&gt;0,'Normal uger'!BA34,"")</f>
        <v/>
      </c>
      <c r="G24" s="615" t="str">
        <f>IF('Normal uger'!BC34&gt;0,'Normal uger'!BC34,"")</f>
        <v/>
      </c>
    </row>
    <row r="25" spans="1:7" ht="20" customHeight="1">
      <c r="A25" s="636" t="str">
        <f>IF('Normal uger'!AR35&gt;0,'Normal uger'!AR35,"")</f>
        <v/>
      </c>
      <c r="B25" s="32" t="str">
        <f>IF('Normal uger'!AS35&gt;0,'Normal uger'!AS35,"")</f>
        <v/>
      </c>
      <c r="C25" s="32" t="str">
        <f>IF('Normal uger'!AU35&gt;0,'Normal uger'!AU35,"")</f>
        <v/>
      </c>
      <c r="D25" s="32" t="str">
        <f>IF('Normal uger'!AW35&gt;0,'Normal uger'!AW35,"")</f>
        <v/>
      </c>
      <c r="E25" s="32" t="str">
        <f>IF('Normal uger'!AY35&gt;0,'Normal uger'!AY35,"")</f>
        <v/>
      </c>
      <c r="F25" s="32" t="str">
        <f>IF('Normal uger'!BA35&gt;0,'Normal uger'!BA35,"")</f>
        <v/>
      </c>
      <c r="G25" s="638" t="str">
        <f>IF('Normal uger'!BC35&gt;0,'Normal uger'!BC35,"")</f>
        <v/>
      </c>
    </row>
    <row r="26" spans="1:7" ht="20" customHeight="1">
      <c r="A26" s="634" t="str">
        <f>IF('Normal uger'!AR36&gt;0,'Normal uger'!AR36,"")</f>
        <v/>
      </c>
      <c r="B26" s="31" t="str">
        <f>IF('Normal uger'!AS36&gt;0,'Normal uger'!AS36,"")</f>
        <v/>
      </c>
      <c r="C26" s="31" t="str">
        <f>IF('Normal uger'!AU36&gt;0,'Normal uger'!AU36,"")</f>
        <v/>
      </c>
      <c r="D26" s="31" t="str">
        <f>IF('Normal uger'!AW36&gt;0,'Normal uger'!AW36,"")</f>
        <v/>
      </c>
      <c r="E26" s="31" t="str">
        <f>IF('Normal uger'!AY36&gt;0,'Normal uger'!AY36,"")</f>
        <v/>
      </c>
      <c r="F26" s="31" t="str">
        <f>IF('Normal uger'!BA36&gt;0,'Normal uger'!BA36,"")</f>
        <v/>
      </c>
      <c r="G26" s="615" t="str">
        <f>IF('Normal uger'!BC36&gt;0,'Normal uger'!BC36,"")</f>
        <v/>
      </c>
    </row>
    <row r="27" spans="1:7" ht="20" customHeight="1">
      <c r="A27" s="636" t="str">
        <f>IF('Normal uger'!AR37&gt;0,'Normal uger'!AR37,"")</f>
        <v/>
      </c>
      <c r="B27" s="32" t="str">
        <f>IF('Normal uger'!AS37&gt;0,'Normal uger'!AS37,"")</f>
        <v/>
      </c>
      <c r="C27" s="32" t="str">
        <f>IF('Normal uger'!AU37&gt;0,'Normal uger'!AU37,"")</f>
        <v/>
      </c>
      <c r="D27" s="32" t="str">
        <f>IF('Normal uger'!AW37&gt;0,'Normal uger'!AW37,"")</f>
        <v/>
      </c>
      <c r="E27" s="32" t="str">
        <f>IF('Normal uger'!AY37&gt;0,'Normal uger'!AY37,"")</f>
        <v/>
      </c>
      <c r="F27" s="32" t="str">
        <f>IF('Normal uger'!BA37&gt;0,'Normal uger'!BA37,"")</f>
        <v/>
      </c>
      <c r="G27" s="638" t="str">
        <f>IF('Normal uger'!BC37&gt;0,'Normal uger'!BC37,"")</f>
        <v/>
      </c>
    </row>
    <row r="28" spans="1:7" ht="20" customHeight="1">
      <c r="A28" s="634" t="str">
        <f>IF('Normal uger'!AR38&gt;0,'Normal uger'!AR38,"")</f>
        <v/>
      </c>
      <c r="B28" s="31" t="str">
        <f>IF('Normal uger'!AS38&gt;0,'Normal uger'!AS38,"")</f>
        <v/>
      </c>
      <c r="C28" s="31" t="str">
        <f>IF('Normal uger'!AU38&gt;0,'Normal uger'!AU38,"")</f>
        <v/>
      </c>
      <c r="D28" s="31" t="str">
        <f>IF('Normal uger'!AW38&gt;0,'Normal uger'!AW38,"")</f>
        <v/>
      </c>
      <c r="E28" s="31" t="str">
        <f>IF('Normal uger'!AY38&gt;0,'Normal uger'!AY38,"")</f>
        <v/>
      </c>
      <c r="F28" s="31" t="str">
        <f>IF('Normal uger'!BA38&gt;0,'Normal uger'!BA38,"")</f>
        <v/>
      </c>
      <c r="G28" s="615" t="str">
        <f>IF('Normal uger'!BC38&gt;0,'Normal uger'!BC38,"")</f>
        <v/>
      </c>
    </row>
    <row r="29" spans="1:7" ht="20" customHeight="1">
      <c r="A29" s="636" t="str">
        <f>IF('Normal uger'!AR39&gt;0,'Normal uger'!AR39,"")</f>
        <v/>
      </c>
      <c r="B29" s="32" t="str">
        <f>IF('Normal uger'!AS39&gt;0,'Normal uger'!AS39,"")</f>
        <v/>
      </c>
      <c r="C29" s="32" t="str">
        <f>IF('Normal uger'!AU39&gt;0,'Normal uger'!AU39,"")</f>
        <v/>
      </c>
      <c r="D29" s="32" t="str">
        <f>IF('Normal uger'!AW39&gt;0,'Normal uger'!AW39,"")</f>
        <v/>
      </c>
      <c r="E29" s="32" t="str">
        <f>IF('Normal uger'!AY39&gt;0,'Normal uger'!AY39,"")</f>
        <v/>
      </c>
      <c r="F29" s="32" t="str">
        <f>IF('Normal uger'!BA39&gt;0,'Normal uger'!BA39,"")</f>
        <v/>
      </c>
      <c r="G29" s="638" t="str">
        <f>IF('Normal uger'!BC39&gt;0,'Normal uger'!BC39,"")</f>
        <v/>
      </c>
    </row>
    <row r="30" spans="1:7" ht="20" customHeight="1">
      <c r="A30" s="634" t="str">
        <f>IF('Normal uger'!AR40&gt;0,'Normal uger'!AR40,"")</f>
        <v/>
      </c>
      <c r="B30" s="31" t="str">
        <f>IF('Normal uger'!AS40&gt;0,'Normal uger'!AS40,"")</f>
        <v/>
      </c>
      <c r="C30" s="31" t="str">
        <f>IF('Normal uger'!AU40&gt;0,'Normal uger'!AU40,"")</f>
        <v/>
      </c>
      <c r="D30" s="31" t="str">
        <f>IF('Normal uger'!AW40&gt;0,'Normal uger'!AW40,"")</f>
        <v/>
      </c>
      <c r="E30" s="31" t="str">
        <f>IF('Normal uger'!AY40&gt;0,'Normal uger'!AY40,"")</f>
        <v/>
      </c>
      <c r="F30" s="31" t="str">
        <f>IF('Normal uger'!BA40&gt;0,'Normal uger'!BA40,"")</f>
        <v/>
      </c>
      <c r="G30" s="615" t="str">
        <f>IF('Normal uger'!BC40&gt;0,'Normal uger'!BC40,"")</f>
        <v/>
      </c>
    </row>
    <row r="31" spans="1:7" ht="20" customHeight="1" thickBot="1">
      <c r="A31" s="687" t="str">
        <f>IF('Normal uger'!AR41&gt;0,'Normal uger'!AR41,"")</f>
        <v/>
      </c>
      <c r="B31" s="688" t="str">
        <f>IF('Normal uger'!AS41&gt;0,'Normal uger'!AS41,"")</f>
        <v/>
      </c>
      <c r="C31" s="688" t="str">
        <f>IF('Normal uger'!AU41&gt;0,'Normal uger'!AU41,"")</f>
        <v/>
      </c>
      <c r="D31" s="688" t="str">
        <f>IF('Normal uger'!AW41&gt;0,'Normal uger'!AW41,"")</f>
        <v/>
      </c>
      <c r="E31" s="688" t="str">
        <f>IF('Normal uger'!AY41&gt;0,'Normal uger'!AY41,"")</f>
        <v/>
      </c>
      <c r="F31" s="688" t="str">
        <f>IF('Normal uger'!BA41&gt;0,'Normal uger'!BA41,"")</f>
        <v/>
      </c>
      <c r="G31" s="689" t="str">
        <f>IF('Normal uger'!BC41&gt;0,'Normal uger'!BC41,"")</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B155-8AEF-F24F-A37B-CE4D1F5523DE}">
  <sheetPr>
    <tabColor theme="4" tint="0.59999389629810485"/>
    <pageSetUpPr fitToPage="1"/>
  </sheetPr>
  <dimension ref="A1:G31"/>
  <sheetViews>
    <sheetView showZeros="0" workbookViewId="0">
      <selection activeCell="H5" sqref="H5"/>
    </sheetView>
  </sheetViews>
  <sheetFormatPr baseColWidth="10" defaultRowHeight="16"/>
  <cols>
    <col min="3" max="7" width="15.83203125" customWidth="1"/>
  </cols>
  <sheetData>
    <row r="1" spans="1:7" ht="32" customHeight="1">
      <c r="A1" s="844" t="str">
        <f>""&amp;'Normal uger'!AQ8&amp;""</f>
        <v xml:space="preserve">Normaluge 4 - </v>
      </c>
      <c r="B1" s="845"/>
      <c r="C1" s="845"/>
      <c r="D1" s="845"/>
      <c r="E1" s="845"/>
      <c r="F1" s="845"/>
      <c r="G1" s="846"/>
    </row>
    <row r="2" spans="1:7" ht="32" customHeight="1">
      <c r="A2" s="972" t="s">
        <v>114</v>
      </c>
      <c r="B2" s="973"/>
      <c r="C2" s="973"/>
      <c r="D2" s="1175">
        <f>'Normal uger'!AV10</f>
        <v>0</v>
      </c>
      <c r="E2" s="1175"/>
      <c r="F2" s="1175">
        <f>'Normal uger'!AZ10</f>
        <v>0</v>
      </c>
      <c r="G2" s="1176"/>
    </row>
    <row r="3" spans="1:7" ht="32" customHeight="1">
      <c r="A3" s="633" t="s">
        <v>55</v>
      </c>
      <c r="B3" s="153" t="s">
        <v>56</v>
      </c>
      <c r="C3" s="154" t="s">
        <v>31</v>
      </c>
      <c r="D3" s="154" t="s">
        <v>32</v>
      </c>
      <c r="E3" s="154" t="s">
        <v>33</v>
      </c>
      <c r="F3" s="154" t="s">
        <v>34</v>
      </c>
      <c r="G3" s="155" t="s">
        <v>35</v>
      </c>
    </row>
    <row r="4" spans="1:7" ht="20" customHeight="1">
      <c r="A4" s="634" t="str">
        <f>IF('Normal uger'!BF14&gt;0,'Normal uger'!BF14,"")</f>
        <v/>
      </c>
      <c r="B4" s="31" t="str">
        <f>IF('Normal uger'!BG14&gt;0,'Normal uger'!BG14,"")</f>
        <v/>
      </c>
      <c r="C4" s="31" t="str">
        <f>IF('Normal uger'!BI14&gt;0,'Normal uger'!BI14,"")</f>
        <v/>
      </c>
      <c r="D4" s="31" t="str">
        <f>IF('Normal uger'!BK14&gt;0,'Normal uger'!BK14,"")</f>
        <v/>
      </c>
      <c r="E4" s="31" t="str">
        <f>IF('Normal uger'!BM14&gt;0,'Normal uger'!BM14,"")</f>
        <v/>
      </c>
      <c r="F4" s="31" t="str">
        <f>IF('Normal uger'!BO14&gt;0,'Normal uger'!BO14,"")</f>
        <v/>
      </c>
      <c r="G4" s="615" t="str">
        <f>IF('Normal uger'!BQ14&gt;0,'Normal uger'!BQ14,"")</f>
        <v/>
      </c>
    </row>
    <row r="5" spans="1:7" ht="20" customHeight="1">
      <c r="A5" s="636" t="str">
        <f>IF('Normal uger'!BF15&gt;0,'Normal uger'!BF15,"")</f>
        <v/>
      </c>
      <c r="B5" s="32" t="str">
        <f>IF('Normal uger'!BG15&gt;0,'Normal uger'!BG15,"")</f>
        <v/>
      </c>
      <c r="C5" s="32" t="str">
        <f>IF('Normal uger'!BI15&gt;0,'Normal uger'!BI15,"")</f>
        <v/>
      </c>
      <c r="D5" s="32" t="str">
        <f>IF('Normal uger'!BK15&gt;0,'Normal uger'!BK15,"")</f>
        <v/>
      </c>
      <c r="E5" s="32" t="str">
        <f>IF('Normal uger'!BM15&gt;0,'Normal uger'!BM15,"")</f>
        <v/>
      </c>
      <c r="F5" s="32" t="str">
        <f>IF('Normal uger'!BO15&gt;0,'Normal uger'!BO15,"")</f>
        <v/>
      </c>
      <c r="G5" s="638" t="str">
        <f>IF('Normal uger'!BQ15&gt;0,'Normal uger'!BQ15,"")</f>
        <v/>
      </c>
    </row>
    <row r="6" spans="1:7" ht="20" customHeight="1">
      <c r="A6" s="634" t="str">
        <f>IF('Normal uger'!BF16&gt;0,'Normal uger'!BF16,"")</f>
        <v/>
      </c>
      <c r="B6" s="31" t="str">
        <f>IF('Normal uger'!BG16&gt;0,'Normal uger'!BG16,"")</f>
        <v/>
      </c>
      <c r="C6" s="31" t="str">
        <f>IF('Normal uger'!BI16&gt;0,'Normal uger'!BI16,"")</f>
        <v/>
      </c>
      <c r="D6" s="31" t="str">
        <f>IF('Normal uger'!BK16&gt;0,'Normal uger'!BK16,"")</f>
        <v/>
      </c>
      <c r="E6" s="31" t="str">
        <f>IF('Normal uger'!BM16&gt;0,'Normal uger'!BM16,"")</f>
        <v/>
      </c>
      <c r="F6" s="31" t="str">
        <f>IF('Normal uger'!BO16&gt;0,'Normal uger'!BO16,"")</f>
        <v/>
      </c>
      <c r="G6" s="615" t="str">
        <f>IF('Normal uger'!BQ16&gt;0,'Normal uger'!BQ16,"")</f>
        <v/>
      </c>
    </row>
    <row r="7" spans="1:7" ht="20" customHeight="1">
      <c r="A7" s="636" t="str">
        <f>IF('Normal uger'!BF17&gt;0,'Normal uger'!BF17,"")</f>
        <v/>
      </c>
      <c r="B7" s="32" t="str">
        <f>IF('Normal uger'!BG17&gt;0,'Normal uger'!BG17,"")</f>
        <v/>
      </c>
      <c r="C7" s="32" t="str">
        <f>IF('Normal uger'!BI17&gt;0,'Normal uger'!BI17,"")</f>
        <v/>
      </c>
      <c r="D7" s="32" t="str">
        <f>IF('Normal uger'!BK17&gt;0,'Normal uger'!BK17,"")</f>
        <v/>
      </c>
      <c r="E7" s="32" t="str">
        <f>IF('Normal uger'!BM17&gt;0,'Normal uger'!BM17,"")</f>
        <v/>
      </c>
      <c r="F7" s="32" t="str">
        <f>IF('Normal uger'!BO17&gt;0,'Normal uger'!BO17,"")</f>
        <v/>
      </c>
      <c r="G7" s="638" t="str">
        <f>IF('Normal uger'!BQ17&gt;0,'Normal uger'!BQ17,"")</f>
        <v/>
      </c>
    </row>
    <row r="8" spans="1:7" ht="20" customHeight="1">
      <c r="A8" s="634" t="str">
        <f>IF('Normal uger'!BF18&gt;0,'Normal uger'!BF18,"")</f>
        <v/>
      </c>
      <c r="B8" s="31" t="str">
        <f>IF('Normal uger'!BG18&gt;0,'Normal uger'!BG18,"")</f>
        <v/>
      </c>
      <c r="C8" s="31" t="str">
        <f>IF('Normal uger'!BI18&gt;0,'Normal uger'!BI18,"")</f>
        <v/>
      </c>
      <c r="D8" s="31" t="str">
        <f>IF('Normal uger'!BK18&gt;0,'Normal uger'!BK18,"")</f>
        <v/>
      </c>
      <c r="E8" s="31" t="str">
        <f>IF('Normal uger'!BM18&gt;0,'Normal uger'!BM18,"")</f>
        <v/>
      </c>
      <c r="F8" s="31" t="str">
        <f>IF('Normal uger'!BO18&gt;0,'Normal uger'!BO18,"")</f>
        <v/>
      </c>
      <c r="G8" s="615" t="str">
        <f>IF('Normal uger'!BQ18&gt;0,'Normal uger'!BQ18,"")</f>
        <v/>
      </c>
    </row>
    <row r="9" spans="1:7" ht="20" customHeight="1">
      <c r="A9" s="636" t="str">
        <f>IF('Normal uger'!BF19&gt;0,'Normal uger'!BF19,"")</f>
        <v/>
      </c>
      <c r="B9" s="32" t="str">
        <f>IF('Normal uger'!BG19&gt;0,'Normal uger'!BG19,"")</f>
        <v/>
      </c>
      <c r="C9" s="32" t="str">
        <f>IF('Normal uger'!BI19&gt;0,'Normal uger'!BI19,"")</f>
        <v/>
      </c>
      <c r="D9" s="32" t="str">
        <f>IF('Normal uger'!BK19&gt;0,'Normal uger'!BK19,"")</f>
        <v/>
      </c>
      <c r="E9" s="32" t="str">
        <f>IF('Normal uger'!BM19&gt;0,'Normal uger'!BM19,"")</f>
        <v/>
      </c>
      <c r="F9" s="32" t="str">
        <f>IF('Normal uger'!BO19&gt;0,'Normal uger'!BO19,"")</f>
        <v/>
      </c>
      <c r="G9" s="638" t="str">
        <f>IF('Normal uger'!BQ19&gt;0,'Normal uger'!BQ19,"")</f>
        <v/>
      </c>
    </row>
    <row r="10" spans="1:7" ht="20" customHeight="1">
      <c r="A10" s="634" t="str">
        <f>IF('Normal uger'!BF20&gt;0,'Normal uger'!BF20,"")</f>
        <v/>
      </c>
      <c r="B10" s="31" t="str">
        <f>IF('Normal uger'!BG20&gt;0,'Normal uger'!BG20,"")</f>
        <v/>
      </c>
      <c r="C10" s="31" t="str">
        <f>IF('Normal uger'!BI20&gt;0,'Normal uger'!BI20,"")</f>
        <v/>
      </c>
      <c r="D10" s="31" t="str">
        <f>IF('Normal uger'!BK20&gt;0,'Normal uger'!BK20,"")</f>
        <v/>
      </c>
      <c r="E10" s="31" t="str">
        <f>IF('Normal uger'!BM20&gt;0,'Normal uger'!BM20,"")</f>
        <v/>
      </c>
      <c r="F10" s="31" t="str">
        <f>IF('Normal uger'!BO20&gt;0,'Normal uger'!BO20,"")</f>
        <v/>
      </c>
      <c r="G10" s="615" t="str">
        <f>IF('Normal uger'!BQ20&gt;0,'Normal uger'!BQ20,"")</f>
        <v/>
      </c>
    </row>
    <row r="11" spans="1:7" ht="20" customHeight="1">
      <c r="A11" s="636" t="str">
        <f>IF('Normal uger'!BF21&gt;0,'Normal uger'!BF21,"")</f>
        <v/>
      </c>
      <c r="B11" s="32" t="str">
        <f>IF('Normal uger'!BG21&gt;0,'Normal uger'!BG21,"")</f>
        <v/>
      </c>
      <c r="C11" s="32" t="str">
        <f>IF('Normal uger'!BI21&gt;0,'Normal uger'!BI21,"")</f>
        <v/>
      </c>
      <c r="D11" s="32" t="str">
        <f>IF('Normal uger'!BK21&gt;0,'Normal uger'!BK21,"")</f>
        <v/>
      </c>
      <c r="E11" s="32" t="str">
        <f>IF('Normal uger'!BM21&gt;0,'Normal uger'!BM21,"")</f>
        <v/>
      </c>
      <c r="F11" s="32" t="str">
        <f>IF('Normal uger'!BO21&gt;0,'Normal uger'!BO21,"")</f>
        <v/>
      </c>
      <c r="G11" s="638" t="str">
        <f>IF('Normal uger'!BQ21&gt;0,'Normal uger'!BQ21,"")</f>
        <v/>
      </c>
    </row>
    <row r="12" spans="1:7" ht="20" customHeight="1">
      <c r="A12" s="634" t="str">
        <f>IF('Normal uger'!BF22&gt;0,'Normal uger'!BF22,"")</f>
        <v/>
      </c>
      <c r="B12" s="31" t="str">
        <f>IF('Normal uger'!BG22&gt;0,'Normal uger'!BG22,"")</f>
        <v/>
      </c>
      <c r="C12" s="31" t="str">
        <f>IF('Normal uger'!BI22&gt;0,'Normal uger'!BI22,"")</f>
        <v/>
      </c>
      <c r="D12" s="31" t="str">
        <f>IF('Normal uger'!BK22&gt;0,'Normal uger'!BK22,"")</f>
        <v/>
      </c>
      <c r="E12" s="31" t="str">
        <f>IF('Normal uger'!BM22&gt;0,'Normal uger'!BM22,"")</f>
        <v/>
      </c>
      <c r="F12" s="31" t="str">
        <f>IF('Normal uger'!BO22&gt;0,'Normal uger'!BO22,"")</f>
        <v/>
      </c>
      <c r="G12" s="615" t="str">
        <f>IF('Normal uger'!BQ22&gt;0,'Normal uger'!BQ22,"")</f>
        <v/>
      </c>
    </row>
    <row r="13" spans="1:7" ht="20" customHeight="1">
      <c r="A13" s="636" t="str">
        <f>IF('Normal uger'!BF23&gt;0,'Normal uger'!BF23,"")</f>
        <v/>
      </c>
      <c r="B13" s="32" t="str">
        <f>IF('Normal uger'!BG23&gt;0,'Normal uger'!BG23,"")</f>
        <v/>
      </c>
      <c r="C13" s="32" t="str">
        <f>IF('Normal uger'!BI23&gt;0,'Normal uger'!BI23,"")</f>
        <v/>
      </c>
      <c r="D13" s="32" t="str">
        <f>IF('Normal uger'!BK23&gt;0,'Normal uger'!BK23,"")</f>
        <v/>
      </c>
      <c r="E13" s="32" t="str">
        <f>IF('Normal uger'!BM23&gt;0,'Normal uger'!BM23,"")</f>
        <v/>
      </c>
      <c r="F13" s="32" t="str">
        <f>IF('Normal uger'!BO23&gt;0,'Normal uger'!BO23,"")</f>
        <v/>
      </c>
      <c r="G13" s="638" t="str">
        <f>IF('Normal uger'!BQ23&gt;0,'Normal uger'!BQ23,"")</f>
        <v/>
      </c>
    </row>
    <row r="14" spans="1:7" ht="20" customHeight="1">
      <c r="A14" s="634" t="str">
        <f>IF('Normal uger'!BF24&gt;0,'Normal uger'!BF24,"")</f>
        <v/>
      </c>
      <c r="B14" s="31" t="str">
        <f>IF('Normal uger'!BG24&gt;0,'Normal uger'!BG24,"")</f>
        <v/>
      </c>
      <c r="C14" s="31" t="str">
        <f>IF('Normal uger'!BI24&gt;0,'Normal uger'!BI24,"")</f>
        <v/>
      </c>
      <c r="D14" s="31" t="str">
        <f>IF('Normal uger'!BK24&gt;0,'Normal uger'!BK24,"")</f>
        <v/>
      </c>
      <c r="E14" s="31" t="str">
        <f>IF('Normal uger'!BM24&gt;0,'Normal uger'!BM24,"")</f>
        <v/>
      </c>
      <c r="F14" s="31" t="str">
        <f>IF('Normal uger'!BO24&gt;0,'Normal uger'!BO24,"")</f>
        <v/>
      </c>
      <c r="G14" s="615" t="str">
        <f>IF('Normal uger'!BQ24&gt;0,'Normal uger'!BQ24,"")</f>
        <v/>
      </c>
    </row>
    <row r="15" spans="1:7" ht="20" customHeight="1">
      <c r="A15" s="636" t="str">
        <f>IF('Normal uger'!BF25&gt;0,'Normal uger'!BF25,"")</f>
        <v/>
      </c>
      <c r="B15" s="32" t="str">
        <f>IF('Normal uger'!BG25&gt;0,'Normal uger'!BG25,"")</f>
        <v/>
      </c>
      <c r="C15" s="32" t="str">
        <f>IF('Normal uger'!BI25&gt;0,'Normal uger'!BI25,"")</f>
        <v/>
      </c>
      <c r="D15" s="32" t="str">
        <f>IF('Normal uger'!BK25&gt;0,'Normal uger'!BK25,"")</f>
        <v/>
      </c>
      <c r="E15" s="32" t="str">
        <f>IF('Normal uger'!BM25&gt;0,'Normal uger'!BM25,"")</f>
        <v/>
      </c>
      <c r="F15" s="32" t="str">
        <f>IF('Normal uger'!BO25&gt;0,'Normal uger'!BO25,"")</f>
        <v/>
      </c>
      <c r="G15" s="638" t="str">
        <f>IF('Normal uger'!BQ25&gt;0,'Normal uger'!BQ25,"")</f>
        <v/>
      </c>
    </row>
    <row r="16" spans="1:7" ht="20" customHeight="1">
      <c r="A16" s="634" t="str">
        <f>IF('Normal uger'!BF26&gt;0,'Normal uger'!BF26,"")</f>
        <v/>
      </c>
      <c r="B16" s="31" t="str">
        <f>IF('Normal uger'!BG26&gt;0,'Normal uger'!BG26,"")</f>
        <v/>
      </c>
      <c r="C16" s="31" t="str">
        <f>IF('Normal uger'!BI26&gt;0,'Normal uger'!BI26,"")</f>
        <v/>
      </c>
      <c r="D16" s="31" t="str">
        <f>IF('Normal uger'!BK26&gt;0,'Normal uger'!BK26,"")</f>
        <v/>
      </c>
      <c r="E16" s="31" t="str">
        <f>IF('Normal uger'!BM26&gt;0,'Normal uger'!BM26,"")</f>
        <v/>
      </c>
      <c r="F16" s="31" t="str">
        <f>IF('Normal uger'!BO26&gt;0,'Normal uger'!BO26,"")</f>
        <v/>
      </c>
      <c r="G16" s="615" t="str">
        <f>IF('Normal uger'!BQ26&gt;0,'Normal uger'!BQ26,"")</f>
        <v/>
      </c>
    </row>
    <row r="17" spans="1:7" ht="20" customHeight="1">
      <c r="A17" s="636" t="str">
        <f>IF('Normal uger'!BF27&gt;0,'Normal uger'!BF27,"")</f>
        <v/>
      </c>
      <c r="B17" s="32" t="str">
        <f>IF('Normal uger'!BG27&gt;0,'Normal uger'!BG27,"")</f>
        <v/>
      </c>
      <c r="C17" s="32" t="str">
        <f>IF('Normal uger'!BI27&gt;0,'Normal uger'!BI27,"")</f>
        <v/>
      </c>
      <c r="D17" s="32" t="str">
        <f>IF('Normal uger'!BK27&gt;0,'Normal uger'!BK27,"")</f>
        <v/>
      </c>
      <c r="E17" s="32" t="str">
        <f>IF('Normal uger'!BM27&gt;0,'Normal uger'!BM27,"")</f>
        <v/>
      </c>
      <c r="F17" s="32" t="str">
        <f>IF('Normal uger'!BO27&gt;0,'Normal uger'!BO27,"")</f>
        <v/>
      </c>
      <c r="G17" s="638" t="str">
        <f>IF('Normal uger'!BQ27&gt;0,'Normal uger'!BQ27,"")</f>
        <v/>
      </c>
    </row>
    <row r="18" spans="1:7" ht="20" customHeight="1">
      <c r="A18" s="634" t="str">
        <f>IF('Normal uger'!BF28&gt;0,'Normal uger'!BF28,"")</f>
        <v/>
      </c>
      <c r="B18" s="31" t="str">
        <f>IF('Normal uger'!BG28&gt;0,'Normal uger'!BG28,"")</f>
        <v/>
      </c>
      <c r="C18" s="31" t="str">
        <f>IF('Normal uger'!BI28&gt;0,'Normal uger'!BI28,"")</f>
        <v/>
      </c>
      <c r="D18" s="31" t="str">
        <f>IF('Normal uger'!BK28&gt;0,'Normal uger'!BK28,"")</f>
        <v/>
      </c>
      <c r="E18" s="31" t="str">
        <f>IF('Normal uger'!BM28&gt;0,'Normal uger'!BM28,"")</f>
        <v/>
      </c>
      <c r="F18" s="31" t="str">
        <f>IF('Normal uger'!BO28&gt;0,'Normal uger'!BO28,"")</f>
        <v/>
      </c>
      <c r="G18" s="615" t="str">
        <f>IF('Normal uger'!BQ28&gt;0,'Normal uger'!BQ28,"")</f>
        <v/>
      </c>
    </row>
    <row r="19" spans="1:7" ht="20" customHeight="1">
      <c r="A19" s="636" t="str">
        <f>IF('Normal uger'!BF29&gt;0,'Normal uger'!BF29,"")</f>
        <v/>
      </c>
      <c r="B19" s="32" t="str">
        <f>IF('Normal uger'!BG29&gt;0,'Normal uger'!BG29,"")</f>
        <v/>
      </c>
      <c r="C19" s="32" t="str">
        <f>IF('Normal uger'!BI29&gt;0,'Normal uger'!BI29,"")</f>
        <v/>
      </c>
      <c r="D19" s="32" t="str">
        <f>IF('Normal uger'!BK29&gt;0,'Normal uger'!BK29,"")</f>
        <v/>
      </c>
      <c r="E19" s="32" t="str">
        <f>IF('Normal uger'!BM29&gt;0,'Normal uger'!BM29,"")</f>
        <v/>
      </c>
      <c r="F19" s="32" t="str">
        <f>IF('Normal uger'!BO29&gt;0,'Normal uger'!BO29,"")</f>
        <v/>
      </c>
      <c r="G19" s="638" t="str">
        <f>IF('Normal uger'!BQ29&gt;0,'Normal uger'!BQ29,"")</f>
        <v/>
      </c>
    </row>
    <row r="20" spans="1:7" ht="20" customHeight="1">
      <c r="A20" s="634" t="str">
        <f>IF('Normal uger'!BF30&gt;0,'Normal uger'!BF30,"")</f>
        <v/>
      </c>
      <c r="B20" s="31" t="str">
        <f>IF('Normal uger'!BG30&gt;0,'Normal uger'!BG30,"")</f>
        <v/>
      </c>
      <c r="C20" s="31" t="str">
        <f>IF('Normal uger'!BI30&gt;0,'Normal uger'!BI30,"")</f>
        <v/>
      </c>
      <c r="D20" s="31" t="str">
        <f>IF('Normal uger'!BK30&gt;0,'Normal uger'!BK30,"")</f>
        <v/>
      </c>
      <c r="E20" s="31" t="str">
        <f>IF('Normal uger'!BM30&gt;0,'Normal uger'!BM30,"")</f>
        <v/>
      </c>
      <c r="F20" s="31" t="str">
        <f>IF('Normal uger'!BO30&gt;0,'Normal uger'!BO30,"")</f>
        <v/>
      </c>
      <c r="G20" s="615" t="str">
        <f>IF('Normal uger'!BQ30&gt;0,'Normal uger'!BQ30,"")</f>
        <v/>
      </c>
    </row>
    <row r="21" spans="1:7" ht="20" customHeight="1">
      <c r="A21" s="636" t="str">
        <f>IF('Normal uger'!BF31&gt;0,'Normal uger'!BF31,"")</f>
        <v/>
      </c>
      <c r="B21" s="32" t="str">
        <f>IF('Normal uger'!BG31&gt;0,'Normal uger'!BG31,"")</f>
        <v/>
      </c>
      <c r="C21" s="32" t="str">
        <f>IF('Normal uger'!BI31&gt;0,'Normal uger'!BI31,"")</f>
        <v/>
      </c>
      <c r="D21" s="32" t="str">
        <f>IF('Normal uger'!BK31&gt;0,'Normal uger'!BK31,"")</f>
        <v/>
      </c>
      <c r="E21" s="32" t="str">
        <f>IF('Normal uger'!BM31&gt;0,'Normal uger'!BM31,"")</f>
        <v/>
      </c>
      <c r="F21" s="32" t="str">
        <f>IF('Normal uger'!BO31&gt;0,'Normal uger'!BO31,"")</f>
        <v/>
      </c>
      <c r="G21" s="638" t="str">
        <f>IF('Normal uger'!BQ31&gt;0,'Normal uger'!BQ31,"")</f>
        <v/>
      </c>
    </row>
    <row r="22" spans="1:7" ht="20" customHeight="1">
      <c r="A22" s="634" t="str">
        <f>IF('Normal uger'!BF32&gt;0,'Normal uger'!BF32,"")</f>
        <v/>
      </c>
      <c r="B22" s="31" t="str">
        <f>IF('Normal uger'!BG32&gt;0,'Normal uger'!BG32,"")</f>
        <v/>
      </c>
      <c r="C22" s="31" t="str">
        <f>IF('Normal uger'!BI32&gt;0,'Normal uger'!BI32,"")</f>
        <v/>
      </c>
      <c r="D22" s="31" t="str">
        <f>IF('Normal uger'!BK32&gt;0,'Normal uger'!BK32,"")</f>
        <v/>
      </c>
      <c r="E22" s="31" t="str">
        <f>IF('Normal uger'!BM32&gt;0,'Normal uger'!BM32,"")</f>
        <v/>
      </c>
      <c r="F22" s="31" t="str">
        <f>IF('Normal uger'!BO32&gt;0,'Normal uger'!BO32,"")</f>
        <v/>
      </c>
      <c r="G22" s="615" t="str">
        <f>IF('Normal uger'!BQ32&gt;0,'Normal uger'!BQ32,"")</f>
        <v/>
      </c>
    </row>
    <row r="23" spans="1:7" ht="20" customHeight="1">
      <c r="A23" s="636" t="str">
        <f>IF('Normal uger'!BF33&gt;0,'Normal uger'!BF33,"")</f>
        <v/>
      </c>
      <c r="B23" s="32" t="str">
        <f>IF('Normal uger'!BG33&gt;0,'Normal uger'!BG33,"")</f>
        <v/>
      </c>
      <c r="C23" s="32" t="str">
        <f>IF('Normal uger'!BI33&gt;0,'Normal uger'!BI33,"")</f>
        <v/>
      </c>
      <c r="D23" s="32" t="str">
        <f>IF('Normal uger'!BK33&gt;0,'Normal uger'!BK33,"")</f>
        <v/>
      </c>
      <c r="E23" s="32" t="str">
        <f>IF('Normal uger'!BM33&gt;0,'Normal uger'!BM33,"")</f>
        <v/>
      </c>
      <c r="F23" s="32" t="str">
        <f>IF('Normal uger'!BO33&gt;0,'Normal uger'!BO33,"")</f>
        <v/>
      </c>
      <c r="G23" s="638" t="str">
        <f>IF('Normal uger'!BQ33&gt;0,'Normal uger'!BQ33,"")</f>
        <v/>
      </c>
    </row>
    <row r="24" spans="1:7" ht="20" customHeight="1">
      <c r="A24" s="634" t="str">
        <f>IF('Normal uger'!BF34&gt;0,'Normal uger'!BF34,"")</f>
        <v/>
      </c>
      <c r="B24" s="31" t="str">
        <f>IF('Normal uger'!BG34&gt;0,'Normal uger'!BG34,"")</f>
        <v/>
      </c>
      <c r="C24" s="31" t="str">
        <f>IF('Normal uger'!BI34&gt;0,'Normal uger'!BI34,"")</f>
        <v/>
      </c>
      <c r="D24" s="31" t="str">
        <f>IF('Normal uger'!BK34&gt;0,'Normal uger'!BK34,"")</f>
        <v/>
      </c>
      <c r="E24" s="31" t="str">
        <f>IF('Normal uger'!BM34&gt;0,'Normal uger'!BM34,"")</f>
        <v/>
      </c>
      <c r="F24" s="31" t="str">
        <f>IF('Normal uger'!BO34&gt;0,'Normal uger'!BO34,"")</f>
        <v/>
      </c>
      <c r="G24" s="615" t="str">
        <f>IF('Normal uger'!BQ34&gt;0,'Normal uger'!BQ34,"")</f>
        <v/>
      </c>
    </row>
    <row r="25" spans="1:7" ht="20" customHeight="1">
      <c r="A25" s="636" t="str">
        <f>IF('Normal uger'!BF35&gt;0,'Normal uger'!BF35,"")</f>
        <v/>
      </c>
      <c r="B25" s="32" t="str">
        <f>IF('Normal uger'!BG35&gt;0,'Normal uger'!BG35,"")</f>
        <v/>
      </c>
      <c r="C25" s="32" t="str">
        <f>IF('Normal uger'!BI35&gt;0,'Normal uger'!BI35,"")</f>
        <v/>
      </c>
      <c r="D25" s="32" t="str">
        <f>IF('Normal uger'!BK35&gt;0,'Normal uger'!BK35,"")</f>
        <v/>
      </c>
      <c r="E25" s="32" t="str">
        <f>IF('Normal uger'!BM35&gt;0,'Normal uger'!BM35,"")</f>
        <v/>
      </c>
      <c r="F25" s="32" t="str">
        <f>IF('Normal uger'!BO35&gt;0,'Normal uger'!BO35,"")</f>
        <v/>
      </c>
      <c r="G25" s="638" t="str">
        <f>IF('Normal uger'!BQ35&gt;0,'Normal uger'!BQ35,"")</f>
        <v/>
      </c>
    </row>
    <row r="26" spans="1:7" ht="20" customHeight="1">
      <c r="A26" s="634" t="str">
        <f>IF('Normal uger'!BF36&gt;0,'Normal uger'!BF36,"")</f>
        <v/>
      </c>
      <c r="B26" s="31" t="str">
        <f>IF('Normal uger'!BG36&gt;0,'Normal uger'!BG36,"")</f>
        <v/>
      </c>
      <c r="C26" s="31" t="str">
        <f>IF('Normal uger'!BI36&gt;0,'Normal uger'!BI36,"")</f>
        <v/>
      </c>
      <c r="D26" s="31" t="str">
        <f>IF('Normal uger'!BK36&gt;0,'Normal uger'!BK36,"")</f>
        <v/>
      </c>
      <c r="E26" s="31" t="str">
        <f>IF('Normal uger'!BM36&gt;0,'Normal uger'!BM36,"")</f>
        <v/>
      </c>
      <c r="F26" s="31" t="str">
        <f>IF('Normal uger'!BO36&gt;0,'Normal uger'!BO36,"")</f>
        <v/>
      </c>
      <c r="G26" s="615" t="str">
        <f>IF('Normal uger'!BQ36&gt;0,'Normal uger'!BQ36,"")</f>
        <v/>
      </c>
    </row>
    <row r="27" spans="1:7" ht="20" customHeight="1">
      <c r="A27" s="636" t="str">
        <f>IF('Normal uger'!BF37&gt;0,'Normal uger'!BF37,"")</f>
        <v/>
      </c>
      <c r="B27" s="32" t="str">
        <f>IF('Normal uger'!BG37&gt;0,'Normal uger'!BG37,"")</f>
        <v/>
      </c>
      <c r="C27" s="32" t="str">
        <f>IF('Normal uger'!BI37&gt;0,'Normal uger'!BI37,"")</f>
        <v/>
      </c>
      <c r="D27" s="32" t="str">
        <f>IF('Normal uger'!BK37&gt;0,'Normal uger'!BK37,"")</f>
        <v/>
      </c>
      <c r="E27" s="32" t="str">
        <f>IF('Normal uger'!BM37&gt;0,'Normal uger'!BM37,"")</f>
        <v/>
      </c>
      <c r="F27" s="32" t="str">
        <f>IF('Normal uger'!BO37&gt;0,'Normal uger'!BO37,"")</f>
        <v/>
      </c>
      <c r="G27" s="638" t="str">
        <f>IF('Normal uger'!BQ37&gt;0,'Normal uger'!BQ37,"")</f>
        <v/>
      </c>
    </row>
    <row r="28" spans="1:7" ht="20" customHeight="1">
      <c r="A28" s="634" t="str">
        <f>IF('Normal uger'!BF38&gt;0,'Normal uger'!BF38,"")</f>
        <v/>
      </c>
      <c r="B28" s="31" t="str">
        <f>IF('Normal uger'!BG38&gt;0,'Normal uger'!BG38,"")</f>
        <v/>
      </c>
      <c r="C28" s="31" t="str">
        <f>IF('Normal uger'!BI38&gt;0,'Normal uger'!BI38,"")</f>
        <v/>
      </c>
      <c r="D28" s="31" t="str">
        <f>IF('Normal uger'!BK38&gt;0,'Normal uger'!BK38,"")</f>
        <v/>
      </c>
      <c r="E28" s="31" t="str">
        <f>IF('Normal uger'!BM38&gt;0,'Normal uger'!BM38,"")</f>
        <v/>
      </c>
      <c r="F28" s="31" t="str">
        <f>IF('Normal uger'!BO38&gt;0,'Normal uger'!BO38,"")</f>
        <v/>
      </c>
      <c r="G28" s="615" t="str">
        <f>IF('Normal uger'!BQ38&gt;0,'Normal uger'!BQ38,"")</f>
        <v/>
      </c>
    </row>
    <row r="29" spans="1:7" ht="20" customHeight="1">
      <c r="A29" s="636" t="str">
        <f>IF('Normal uger'!BF39&gt;0,'Normal uger'!BF39,"")</f>
        <v/>
      </c>
      <c r="B29" s="32" t="str">
        <f>IF('Normal uger'!BG39&gt;0,'Normal uger'!BG39,"")</f>
        <v/>
      </c>
      <c r="C29" s="32" t="str">
        <f>IF('Normal uger'!BI39&gt;0,'Normal uger'!BI39,"")</f>
        <v/>
      </c>
      <c r="D29" s="32" t="str">
        <f>IF('Normal uger'!BK39&gt;0,'Normal uger'!BK39,"")</f>
        <v/>
      </c>
      <c r="E29" s="32" t="str">
        <f>IF('Normal uger'!BM39&gt;0,'Normal uger'!BM39,"")</f>
        <v/>
      </c>
      <c r="F29" s="32" t="str">
        <f>IF('Normal uger'!BO39&gt;0,'Normal uger'!BO39,"")</f>
        <v/>
      </c>
      <c r="G29" s="638" t="str">
        <f>IF('Normal uger'!BQ39&gt;0,'Normal uger'!BQ39,"")</f>
        <v/>
      </c>
    </row>
    <row r="30" spans="1:7" ht="20" customHeight="1">
      <c r="A30" s="634" t="str">
        <f>IF('Normal uger'!BF40&gt;0,'Normal uger'!BF40,"")</f>
        <v/>
      </c>
      <c r="B30" s="31" t="str">
        <f>IF('Normal uger'!BG40&gt;0,'Normal uger'!BG40,"")</f>
        <v/>
      </c>
      <c r="C30" s="31" t="str">
        <f>IF('Normal uger'!BI40&gt;0,'Normal uger'!BI40,"")</f>
        <v/>
      </c>
      <c r="D30" s="31" t="str">
        <f>IF('Normal uger'!BK40&gt;0,'Normal uger'!BK40,"")</f>
        <v/>
      </c>
      <c r="E30" s="31" t="str">
        <f>IF('Normal uger'!BM40&gt;0,'Normal uger'!BM40,"")</f>
        <v/>
      </c>
      <c r="F30" s="31" t="str">
        <f>IF('Normal uger'!BO40&gt;0,'Normal uger'!BO40,"")</f>
        <v/>
      </c>
      <c r="G30" s="615" t="str">
        <f>IF('Normal uger'!BQ40&gt;0,'Normal uger'!BQ40,"")</f>
        <v/>
      </c>
    </row>
    <row r="31" spans="1:7" ht="20" customHeight="1" thickBot="1">
      <c r="A31" s="687" t="str">
        <f>IF('Normal uger'!BF41&gt;0,'Normal uger'!BF41,"")</f>
        <v/>
      </c>
      <c r="B31" s="688" t="str">
        <f>IF('Normal uger'!BG41&gt;0,'Normal uger'!BG41,"")</f>
        <v/>
      </c>
      <c r="C31" s="688" t="str">
        <f>IF('Normal uger'!BI41&gt;0,'Normal uger'!BI41,"")</f>
        <v/>
      </c>
      <c r="D31" s="688" t="str">
        <f>IF('Normal uger'!BK41&gt;0,'Normal uger'!BK41,"")</f>
        <v/>
      </c>
      <c r="E31" s="688" t="str">
        <f>IF('Normal uger'!BM41&gt;0,'Normal uger'!BM41,"")</f>
        <v/>
      </c>
      <c r="F31" s="688" t="str">
        <f>IF('Normal uger'!BO41&gt;0,'Normal uger'!BO41,"")</f>
        <v/>
      </c>
      <c r="G31" s="689" t="str">
        <f>IF('Normal uger'!BQ41&gt;0,'Normal uger'!BQ41,"")</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4711-DD3C-484B-B343-5DA598266A7A}">
  <sheetPr>
    <tabColor theme="4" tint="0.59999389629810485"/>
    <pageSetUpPr fitToPage="1"/>
  </sheetPr>
  <dimension ref="A1:G31"/>
  <sheetViews>
    <sheetView showZeros="0" workbookViewId="0">
      <selection activeCell="G34" sqref="G34"/>
    </sheetView>
  </sheetViews>
  <sheetFormatPr baseColWidth="10" defaultRowHeight="16"/>
  <cols>
    <col min="3" max="7" width="15.83203125" customWidth="1"/>
  </cols>
  <sheetData>
    <row r="1" spans="1:7" ht="32" customHeight="1">
      <c r="A1" s="844" t="str">
        <f>""&amp;'Normal uger'!AQ8&amp;""</f>
        <v xml:space="preserve">Normaluge 4 - </v>
      </c>
      <c r="B1" s="845"/>
      <c r="C1" s="845"/>
      <c r="D1" s="845"/>
      <c r="E1" s="845"/>
      <c r="F1" s="845"/>
      <c r="G1" s="846"/>
    </row>
    <row r="2" spans="1:7" ht="32" customHeight="1">
      <c r="A2" s="972" t="s">
        <v>114</v>
      </c>
      <c r="B2" s="973"/>
      <c r="C2" s="973"/>
      <c r="D2" s="1175">
        <f>'Normal uger'!AV10</f>
        <v>0</v>
      </c>
      <c r="E2" s="1175"/>
      <c r="F2" s="1175">
        <f>'Normal uger'!AZ10</f>
        <v>0</v>
      </c>
      <c r="G2" s="1176"/>
    </row>
    <row r="3" spans="1:7" ht="32" customHeight="1">
      <c r="A3" s="633" t="s">
        <v>55</v>
      </c>
      <c r="B3" s="153" t="s">
        <v>56</v>
      </c>
      <c r="C3" s="154" t="s">
        <v>31</v>
      </c>
      <c r="D3" s="154" t="s">
        <v>32</v>
      </c>
      <c r="E3" s="154" t="s">
        <v>33</v>
      </c>
      <c r="F3" s="154" t="s">
        <v>34</v>
      </c>
      <c r="G3" s="155" t="s">
        <v>35</v>
      </c>
    </row>
    <row r="4" spans="1:7" ht="20" customHeight="1">
      <c r="A4" s="634" t="str">
        <f>IF('Normal uger'!BS14&gt;0,'Normal uger'!BS14,"")</f>
        <v/>
      </c>
      <c r="B4" s="31" t="str">
        <f>IF('Normal uger'!BU14&gt;0,'Normal uger'!BU14,"")</f>
        <v/>
      </c>
      <c r="C4" s="31" t="str">
        <f>IF('Normal uger'!BW14&gt;0,'Normal uger'!BW14,"")</f>
        <v/>
      </c>
      <c r="D4" s="31" t="str">
        <f>IF('Normal uger'!BY14&gt;0,'Normal uger'!BY14,"")</f>
        <v/>
      </c>
      <c r="E4" s="31" t="str">
        <f>IF('Normal uger'!CA14&gt;0,'Normal uger'!CA14,"")</f>
        <v/>
      </c>
      <c r="F4" s="31" t="str">
        <f>IF('Normal uger'!CC14&gt;0,'Normal uger'!CC14,"")</f>
        <v/>
      </c>
      <c r="G4" s="615" t="str">
        <f>IF('Normal uger'!CE14&gt;0,'Normal uger'!CE14,"")</f>
        <v/>
      </c>
    </row>
    <row r="5" spans="1:7" ht="20" customHeight="1">
      <c r="A5" s="636" t="str">
        <f>IF('Normal uger'!BS15&gt;0,'Normal uger'!BS15,"")</f>
        <v/>
      </c>
      <c r="B5" s="32" t="str">
        <f>IF('Normal uger'!BU15&gt;0,'Normal uger'!BU15,"")</f>
        <v/>
      </c>
      <c r="C5" s="32" t="str">
        <f>IF('Normal uger'!BW15&gt;0,'Normal uger'!BW15,"")</f>
        <v/>
      </c>
      <c r="D5" s="32" t="str">
        <f>IF('Normal uger'!BY15&gt;0,'Normal uger'!BY15,"")</f>
        <v/>
      </c>
      <c r="E5" s="32" t="str">
        <f>IF('Normal uger'!CA15&gt;0,'Normal uger'!CA15,"")</f>
        <v/>
      </c>
      <c r="F5" s="32" t="str">
        <f>IF('Normal uger'!CC15&gt;0,'Normal uger'!CC15,"")</f>
        <v/>
      </c>
      <c r="G5" s="638" t="str">
        <f>IF('Normal uger'!CE15&gt;0,'Normal uger'!CE15,"")</f>
        <v/>
      </c>
    </row>
    <row r="6" spans="1:7" ht="20" customHeight="1">
      <c r="A6" s="634" t="str">
        <f>IF('Normal uger'!BS16&gt;0,'Normal uger'!BS16,"")</f>
        <v/>
      </c>
      <c r="B6" s="31" t="str">
        <f>IF('Normal uger'!BU16&gt;0,'Normal uger'!BU16,"")</f>
        <v/>
      </c>
      <c r="C6" s="31" t="str">
        <f>IF('Normal uger'!BW16&gt;0,'Normal uger'!BW16,"")</f>
        <v/>
      </c>
      <c r="D6" s="31" t="str">
        <f>IF('Normal uger'!BY16&gt;0,'Normal uger'!BY16,"")</f>
        <v/>
      </c>
      <c r="E6" s="31" t="str">
        <f>IF('Normal uger'!CA16&gt;0,'Normal uger'!CA16,"")</f>
        <v/>
      </c>
      <c r="F6" s="31" t="str">
        <f>IF('Normal uger'!CC16&gt;0,'Normal uger'!CC16,"")</f>
        <v/>
      </c>
      <c r="G6" s="615" t="str">
        <f>IF('Normal uger'!CE16&gt;0,'Normal uger'!CE16,"")</f>
        <v/>
      </c>
    </row>
    <row r="7" spans="1:7" ht="20" customHeight="1">
      <c r="A7" s="636" t="str">
        <f>IF('Normal uger'!BS17&gt;0,'Normal uger'!BS17,"")</f>
        <v/>
      </c>
      <c r="B7" s="32" t="str">
        <f>IF('Normal uger'!BU17&gt;0,'Normal uger'!BU17,"")</f>
        <v/>
      </c>
      <c r="C7" s="32" t="str">
        <f>IF('Normal uger'!BW17&gt;0,'Normal uger'!BW17,"")</f>
        <v/>
      </c>
      <c r="D7" s="32" t="str">
        <f>IF('Normal uger'!BY17&gt;0,'Normal uger'!BY17,"")</f>
        <v/>
      </c>
      <c r="E7" s="32" t="str">
        <f>IF('Normal uger'!CA17&gt;0,'Normal uger'!CA17,"")</f>
        <v/>
      </c>
      <c r="F7" s="32" t="str">
        <f>IF('Normal uger'!CC17&gt;0,'Normal uger'!CC17,"")</f>
        <v/>
      </c>
      <c r="G7" s="638" t="str">
        <f>IF('Normal uger'!CE17&gt;0,'Normal uger'!CE17,"")</f>
        <v/>
      </c>
    </row>
    <row r="8" spans="1:7" ht="20" customHeight="1">
      <c r="A8" s="634" t="str">
        <f>IF('Normal uger'!BS18&gt;0,'Normal uger'!BS18,"")</f>
        <v/>
      </c>
      <c r="B8" s="31" t="str">
        <f>IF('Normal uger'!BU18&gt;0,'Normal uger'!BU18,"")</f>
        <v/>
      </c>
      <c r="C8" s="31" t="str">
        <f>IF('Normal uger'!BW18&gt;0,'Normal uger'!BW18,"")</f>
        <v/>
      </c>
      <c r="D8" s="31" t="str">
        <f>IF('Normal uger'!BY18&gt;0,'Normal uger'!BY18,"")</f>
        <v/>
      </c>
      <c r="E8" s="31" t="str">
        <f>IF('Normal uger'!CA18&gt;0,'Normal uger'!CA18,"")</f>
        <v/>
      </c>
      <c r="F8" s="31" t="str">
        <f>IF('Normal uger'!CC18&gt;0,'Normal uger'!CC18,"")</f>
        <v/>
      </c>
      <c r="G8" s="615" t="str">
        <f>IF('Normal uger'!CE18&gt;0,'Normal uger'!CE18,"")</f>
        <v/>
      </c>
    </row>
    <row r="9" spans="1:7" ht="20" customHeight="1">
      <c r="A9" s="636" t="str">
        <f>IF('Normal uger'!BS19&gt;0,'Normal uger'!BS19,"")</f>
        <v/>
      </c>
      <c r="B9" s="32" t="str">
        <f>IF('Normal uger'!BU19&gt;0,'Normal uger'!BU19,"")</f>
        <v/>
      </c>
      <c r="C9" s="32" t="str">
        <f>IF('Normal uger'!BW19&gt;0,'Normal uger'!BW19,"")</f>
        <v/>
      </c>
      <c r="D9" s="32" t="str">
        <f>IF('Normal uger'!BY19&gt;0,'Normal uger'!BY19,"")</f>
        <v/>
      </c>
      <c r="E9" s="32" t="str">
        <f>IF('Normal uger'!CA19&gt;0,'Normal uger'!CA19,"")</f>
        <v/>
      </c>
      <c r="F9" s="32" t="str">
        <f>IF('Normal uger'!CC19&gt;0,'Normal uger'!CC19,"")</f>
        <v/>
      </c>
      <c r="G9" s="638" t="str">
        <f>IF('Normal uger'!CE19&gt;0,'Normal uger'!CE19,"")</f>
        <v/>
      </c>
    </row>
    <row r="10" spans="1:7" ht="20" customHeight="1">
      <c r="A10" s="634" t="str">
        <f>IF('Normal uger'!BS20&gt;0,'Normal uger'!BS20,"")</f>
        <v/>
      </c>
      <c r="B10" s="31" t="str">
        <f>IF('Normal uger'!BU20&gt;0,'Normal uger'!BU20,"")</f>
        <v/>
      </c>
      <c r="C10" s="31" t="str">
        <f>IF('Normal uger'!BW20&gt;0,'Normal uger'!BW20,"")</f>
        <v/>
      </c>
      <c r="D10" s="31" t="str">
        <f>IF('Normal uger'!BY20&gt;0,'Normal uger'!BY20,"")</f>
        <v/>
      </c>
      <c r="E10" s="31" t="str">
        <f>IF('Normal uger'!CA20&gt;0,'Normal uger'!CA20,"")</f>
        <v/>
      </c>
      <c r="F10" s="31" t="str">
        <f>IF('Normal uger'!CC20&gt;0,'Normal uger'!CC20,"")</f>
        <v/>
      </c>
      <c r="G10" s="615" t="str">
        <f>IF('Normal uger'!CE20&gt;0,'Normal uger'!CE20,"")</f>
        <v/>
      </c>
    </row>
    <row r="11" spans="1:7" ht="20" customHeight="1">
      <c r="A11" s="636" t="str">
        <f>IF('Normal uger'!BS21&gt;0,'Normal uger'!BS21,"")</f>
        <v/>
      </c>
      <c r="B11" s="32" t="str">
        <f>IF('Normal uger'!BU21&gt;0,'Normal uger'!BU21,"")</f>
        <v/>
      </c>
      <c r="C11" s="32" t="str">
        <f>IF('Normal uger'!BW21&gt;0,'Normal uger'!BW21,"")</f>
        <v/>
      </c>
      <c r="D11" s="32" t="str">
        <f>IF('Normal uger'!BY21&gt;0,'Normal uger'!BY21,"")</f>
        <v/>
      </c>
      <c r="E11" s="32" t="str">
        <f>IF('Normal uger'!CA21&gt;0,'Normal uger'!CA21,"")</f>
        <v/>
      </c>
      <c r="F11" s="32" t="str">
        <f>IF('Normal uger'!CC21&gt;0,'Normal uger'!CC21,"")</f>
        <v/>
      </c>
      <c r="G11" s="638" t="str">
        <f>IF('Normal uger'!CE21&gt;0,'Normal uger'!CE21,"")</f>
        <v/>
      </c>
    </row>
    <row r="12" spans="1:7" ht="20" customHeight="1">
      <c r="A12" s="634" t="str">
        <f>IF('Normal uger'!BS22&gt;0,'Normal uger'!BS22,"")</f>
        <v/>
      </c>
      <c r="B12" s="31" t="str">
        <f>IF('Normal uger'!BU22&gt;0,'Normal uger'!BU22,"")</f>
        <v/>
      </c>
      <c r="C12" s="31" t="str">
        <f>IF('Normal uger'!BW22&gt;0,'Normal uger'!BW22,"")</f>
        <v/>
      </c>
      <c r="D12" s="31" t="str">
        <f>IF('Normal uger'!BY22&gt;0,'Normal uger'!BY22,"")</f>
        <v/>
      </c>
      <c r="E12" s="31" t="str">
        <f>IF('Normal uger'!CA22&gt;0,'Normal uger'!CA22,"")</f>
        <v/>
      </c>
      <c r="F12" s="31" t="str">
        <f>IF('Normal uger'!CC22&gt;0,'Normal uger'!CC22,"")</f>
        <v/>
      </c>
      <c r="G12" s="615" t="str">
        <f>IF('Normal uger'!CE22&gt;0,'Normal uger'!CE22,"")</f>
        <v/>
      </c>
    </row>
    <row r="13" spans="1:7" ht="20" customHeight="1">
      <c r="A13" s="636" t="str">
        <f>IF('Normal uger'!BS23&gt;0,'Normal uger'!BS23,"")</f>
        <v/>
      </c>
      <c r="B13" s="32" t="str">
        <f>IF('Normal uger'!BU23&gt;0,'Normal uger'!BU23,"")</f>
        <v/>
      </c>
      <c r="C13" s="32" t="str">
        <f>IF('Normal uger'!BW23&gt;0,'Normal uger'!BW23,"")</f>
        <v/>
      </c>
      <c r="D13" s="32" t="str">
        <f>IF('Normal uger'!BY23&gt;0,'Normal uger'!BY23,"")</f>
        <v/>
      </c>
      <c r="E13" s="32" t="str">
        <f>IF('Normal uger'!CA23&gt;0,'Normal uger'!CA23,"")</f>
        <v/>
      </c>
      <c r="F13" s="32" t="str">
        <f>IF('Normal uger'!CC23&gt;0,'Normal uger'!CC23,"")</f>
        <v/>
      </c>
      <c r="G13" s="638" t="str">
        <f>IF('Normal uger'!CE23&gt;0,'Normal uger'!CE23,"")</f>
        <v/>
      </c>
    </row>
    <row r="14" spans="1:7" ht="20" customHeight="1">
      <c r="A14" s="634" t="str">
        <f>IF('Normal uger'!BS24&gt;0,'Normal uger'!BS24,"")</f>
        <v/>
      </c>
      <c r="B14" s="31" t="str">
        <f>IF('Normal uger'!BU24&gt;0,'Normal uger'!BU24,"")</f>
        <v/>
      </c>
      <c r="C14" s="31" t="str">
        <f>IF('Normal uger'!BW24&gt;0,'Normal uger'!BW24,"")</f>
        <v/>
      </c>
      <c r="D14" s="31" t="str">
        <f>IF('Normal uger'!BY24&gt;0,'Normal uger'!BY24,"")</f>
        <v/>
      </c>
      <c r="E14" s="31" t="str">
        <f>IF('Normal uger'!CA24&gt;0,'Normal uger'!CA24,"")</f>
        <v/>
      </c>
      <c r="F14" s="31" t="str">
        <f>IF('Normal uger'!CC24&gt;0,'Normal uger'!CC24,"")</f>
        <v/>
      </c>
      <c r="G14" s="615" t="str">
        <f>IF('Normal uger'!CE24&gt;0,'Normal uger'!CE24,"")</f>
        <v/>
      </c>
    </row>
    <row r="15" spans="1:7" ht="20" customHeight="1">
      <c r="A15" s="636" t="str">
        <f>IF('Normal uger'!BS25&gt;0,'Normal uger'!BS25,"")</f>
        <v/>
      </c>
      <c r="B15" s="32" t="str">
        <f>IF('Normal uger'!BU25&gt;0,'Normal uger'!BU25,"")</f>
        <v/>
      </c>
      <c r="C15" s="32" t="str">
        <f>IF('Normal uger'!BW25&gt;0,'Normal uger'!BW25,"")</f>
        <v/>
      </c>
      <c r="D15" s="32" t="str">
        <f>IF('Normal uger'!BY25&gt;0,'Normal uger'!BY25,"")</f>
        <v/>
      </c>
      <c r="E15" s="32" t="str">
        <f>IF('Normal uger'!CA25&gt;0,'Normal uger'!CA25,"")</f>
        <v/>
      </c>
      <c r="F15" s="32" t="str">
        <f>IF('Normal uger'!CC25&gt;0,'Normal uger'!CC25,"")</f>
        <v/>
      </c>
      <c r="G15" s="638" t="str">
        <f>IF('Normal uger'!CE25&gt;0,'Normal uger'!CE25,"")</f>
        <v/>
      </c>
    </row>
    <row r="16" spans="1:7" ht="20" customHeight="1">
      <c r="A16" s="634" t="str">
        <f>IF('Normal uger'!BS26&gt;0,'Normal uger'!BS26,"")</f>
        <v/>
      </c>
      <c r="B16" s="31" t="str">
        <f>IF('Normal uger'!BU26&gt;0,'Normal uger'!BU26,"")</f>
        <v/>
      </c>
      <c r="C16" s="31" t="str">
        <f>IF('Normal uger'!BW26&gt;0,'Normal uger'!BW26,"")</f>
        <v/>
      </c>
      <c r="D16" s="31" t="str">
        <f>IF('Normal uger'!BY26&gt;0,'Normal uger'!BY26,"")</f>
        <v/>
      </c>
      <c r="E16" s="31" t="str">
        <f>IF('Normal uger'!CA26&gt;0,'Normal uger'!CA26,"")</f>
        <v/>
      </c>
      <c r="F16" s="31" t="str">
        <f>IF('Normal uger'!CC26&gt;0,'Normal uger'!CC26,"")</f>
        <v/>
      </c>
      <c r="G16" s="615" t="str">
        <f>IF('Normal uger'!CE26&gt;0,'Normal uger'!CE26,"")</f>
        <v/>
      </c>
    </row>
    <row r="17" spans="1:7" ht="20" customHeight="1">
      <c r="A17" s="636" t="str">
        <f>IF('Normal uger'!BS27&gt;0,'Normal uger'!BS27,"")</f>
        <v/>
      </c>
      <c r="B17" s="32" t="str">
        <f>IF('Normal uger'!BU27&gt;0,'Normal uger'!BU27,"")</f>
        <v/>
      </c>
      <c r="C17" s="32" t="str">
        <f>IF('Normal uger'!BW27&gt;0,'Normal uger'!BW27,"")</f>
        <v/>
      </c>
      <c r="D17" s="32" t="str">
        <f>IF('Normal uger'!BY27&gt;0,'Normal uger'!BY27,"")</f>
        <v/>
      </c>
      <c r="E17" s="32" t="str">
        <f>IF('Normal uger'!CA27&gt;0,'Normal uger'!CA27,"")</f>
        <v/>
      </c>
      <c r="F17" s="32" t="str">
        <f>IF('Normal uger'!CC27&gt;0,'Normal uger'!CC27,"")</f>
        <v/>
      </c>
      <c r="G17" s="638" t="str">
        <f>IF('Normal uger'!CE27&gt;0,'Normal uger'!CE27,"")</f>
        <v/>
      </c>
    </row>
    <row r="18" spans="1:7" ht="20" customHeight="1">
      <c r="A18" s="634" t="str">
        <f>IF('Normal uger'!BS28&gt;0,'Normal uger'!BS28,"")</f>
        <v/>
      </c>
      <c r="B18" s="31" t="str">
        <f>IF('Normal uger'!BU28&gt;0,'Normal uger'!BU28,"")</f>
        <v/>
      </c>
      <c r="C18" s="31" t="str">
        <f>IF('Normal uger'!BW28&gt;0,'Normal uger'!BW28,"")</f>
        <v/>
      </c>
      <c r="D18" s="31" t="str">
        <f>IF('Normal uger'!BY28&gt;0,'Normal uger'!BY28,"")</f>
        <v/>
      </c>
      <c r="E18" s="31" t="str">
        <f>IF('Normal uger'!CA28&gt;0,'Normal uger'!CA28,"")</f>
        <v/>
      </c>
      <c r="F18" s="31" t="str">
        <f>IF('Normal uger'!CC28&gt;0,'Normal uger'!CC28,"")</f>
        <v/>
      </c>
      <c r="G18" s="615" t="str">
        <f>IF('Normal uger'!CE28&gt;0,'Normal uger'!CE28,"")</f>
        <v/>
      </c>
    </row>
    <row r="19" spans="1:7" ht="20" customHeight="1">
      <c r="A19" s="636" t="str">
        <f>IF('Normal uger'!BS29&gt;0,'Normal uger'!BS29,"")</f>
        <v/>
      </c>
      <c r="B19" s="32" t="str">
        <f>IF('Normal uger'!BU29&gt;0,'Normal uger'!BU29,"")</f>
        <v/>
      </c>
      <c r="C19" s="32" t="str">
        <f>IF('Normal uger'!BW29&gt;0,'Normal uger'!BW29,"")</f>
        <v/>
      </c>
      <c r="D19" s="32" t="str">
        <f>IF('Normal uger'!BY29&gt;0,'Normal uger'!BY29,"")</f>
        <v/>
      </c>
      <c r="E19" s="32" t="str">
        <f>IF('Normal uger'!CA29&gt;0,'Normal uger'!CA29,"")</f>
        <v/>
      </c>
      <c r="F19" s="32" t="str">
        <f>IF('Normal uger'!CC29&gt;0,'Normal uger'!CC29,"")</f>
        <v/>
      </c>
      <c r="G19" s="638" t="str">
        <f>IF('Normal uger'!CE29&gt;0,'Normal uger'!CE29,"")</f>
        <v/>
      </c>
    </row>
    <row r="20" spans="1:7" ht="20" customHeight="1">
      <c r="A20" s="634" t="str">
        <f>IF('Normal uger'!BS30&gt;0,'Normal uger'!BS30,"")</f>
        <v/>
      </c>
      <c r="B20" s="31" t="str">
        <f>IF('Normal uger'!BU30&gt;0,'Normal uger'!BU30,"")</f>
        <v/>
      </c>
      <c r="C20" s="31" t="str">
        <f>IF('Normal uger'!BW30&gt;0,'Normal uger'!BW30,"")</f>
        <v/>
      </c>
      <c r="D20" s="31" t="str">
        <f>IF('Normal uger'!BY30&gt;0,'Normal uger'!BY30,"")</f>
        <v/>
      </c>
      <c r="E20" s="31" t="str">
        <f>IF('Normal uger'!CA30&gt;0,'Normal uger'!CA30,"")</f>
        <v/>
      </c>
      <c r="F20" s="31" t="str">
        <f>IF('Normal uger'!CC30&gt;0,'Normal uger'!CC30,"")</f>
        <v/>
      </c>
      <c r="G20" s="615" t="str">
        <f>IF('Normal uger'!CE30&gt;0,'Normal uger'!CE30,"")</f>
        <v/>
      </c>
    </row>
    <row r="21" spans="1:7" ht="20" customHeight="1">
      <c r="A21" s="636" t="str">
        <f>IF('Normal uger'!BS31&gt;0,'Normal uger'!BS31,"")</f>
        <v/>
      </c>
      <c r="B21" s="32" t="str">
        <f>IF('Normal uger'!BU31&gt;0,'Normal uger'!BU31,"")</f>
        <v/>
      </c>
      <c r="C21" s="32" t="str">
        <f>IF('Normal uger'!BW31&gt;0,'Normal uger'!BW31,"")</f>
        <v/>
      </c>
      <c r="D21" s="32" t="str">
        <f>IF('Normal uger'!BY31&gt;0,'Normal uger'!BY31,"")</f>
        <v/>
      </c>
      <c r="E21" s="32" t="str">
        <f>IF('Normal uger'!CA31&gt;0,'Normal uger'!CA31,"")</f>
        <v/>
      </c>
      <c r="F21" s="32" t="str">
        <f>IF('Normal uger'!CC31&gt;0,'Normal uger'!CC31,"")</f>
        <v/>
      </c>
      <c r="G21" s="638" t="str">
        <f>IF('Normal uger'!CE31&gt;0,'Normal uger'!CE31,"")</f>
        <v/>
      </c>
    </row>
    <row r="22" spans="1:7" ht="20" customHeight="1">
      <c r="A22" s="634" t="str">
        <f>IF('Normal uger'!BS32&gt;0,'Normal uger'!BS32,"")</f>
        <v/>
      </c>
      <c r="B22" s="31" t="str">
        <f>IF('Normal uger'!BU32&gt;0,'Normal uger'!BU32,"")</f>
        <v/>
      </c>
      <c r="C22" s="31" t="str">
        <f>IF('Normal uger'!BW32&gt;0,'Normal uger'!BW32,"")</f>
        <v/>
      </c>
      <c r="D22" s="31" t="str">
        <f>IF('Normal uger'!BY32&gt;0,'Normal uger'!BY32,"")</f>
        <v/>
      </c>
      <c r="E22" s="31" t="str">
        <f>IF('Normal uger'!CA32&gt;0,'Normal uger'!CA32,"")</f>
        <v/>
      </c>
      <c r="F22" s="31" t="str">
        <f>IF('Normal uger'!CC32&gt;0,'Normal uger'!CC32,"")</f>
        <v/>
      </c>
      <c r="G22" s="615" t="str">
        <f>IF('Normal uger'!CE32&gt;0,'Normal uger'!CE32,"")</f>
        <v/>
      </c>
    </row>
    <row r="23" spans="1:7" ht="20" customHeight="1">
      <c r="A23" s="636" t="str">
        <f>IF('Normal uger'!BS33&gt;0,'Normal uger'!BS33,"")</f>
        <v/>
      </c>
      <c r="B23" s="32" t="str">
        <f>IF('Normal uger'!BU33&gt;0,'Normal uger'!BU33,"")</f>
        <v/>
      </c>
      <c r="C23" s="32" t="str">
        <f>IF('Normal uger'!BW33&gt;0,'Normal uger'!BW33,"")</f>
        <v/>
      </c>
      <c r="D23" s="32" t="str">
        <f>IF('Normal uger'!BY33&gt;0,'Normal uger'!BY33,"")</f>
        <v/>
      </c>
      <c r="E23" s="32" t="str">
        <f>IF('Normal uger'!CA33&gt;0,'Normal uger'!CA33,"")</f>
        <v/>
      </c>
      <c r="F23" s="32" t="str">
        <f>IF('Normal uger'!CC33&gt;0,'Normal uger'!CC33,"")</f>
        <v/>
      </c>
      <c r="G23" s="638" t="str">
        <f>IF('Normal uger'!CE33&gt;0,'Normal uger'!CE33,"")</f>
        <v/>
      </c>
    </row>
    <row r="24" spans="1:7" ht="20" customHeight="1">
      <c r="A24" s="634" t="str">
        <f>IF('Normal uger'!BS34&gt;0,'Normal uger'!BS34,"")</f>
        <v/>
      </c>
      <c r="B24" s="31" t="str">
        <f>IF('Normal uger'!BU34&gt;0,'Normal uger'!BU34,"")</f>
        <v/>
      </c>
      <c r="C24" s="31" t="str">
        <f>IF('Normal uger'!BW34&gt;0,'Normal uger'!BW34,"")</f>
        <v/>
      </c>
      <c r="D24" s="31" t="str">
        <f>IF('Normal uger'!BY34&gt;0,'Normal uger'!BY34,"")</f>
        <v/>
      </c>
      <c r="E24" s="31" t="str">
        <f>IF('Normal uger'!CA34&gt;0,'Normal uger'!CA34,"")</f>
        <v/>
      </c>
      <c r="F24" s="31" t="str">
        <f>IF('Normal uger'!CC34&gt;0,'Normal uger'!CC34,"")</f>
        <v/>
      </c>
      <c r="G24" s="615" t="str">
        <f>IF('Normal uger'!CE34&gt;0,'Normal uger'!CE34,"")</f>
        <v/>
      </c>
    </row>
    <row r="25" spans="1:7" ht="20" customHeight="1">
      <c r="A25" s="636" t="str">
        <f>IF('Normal uger'!BS35&gt;0,'Normal uger'!BS35,"")</f>
        <v/>
      </c>
      <c r="B25" s="32" t="str">
        <f>IF('Normal uger'!BU35&gt;0,'Normal uger'!BU35,"")</f>
        <v/>
      </c>
      <c r="C25" s="32" t="str">
        <f>IF('Normal uger'!BW35&gt;0,'Normal uger'!BW35,"")</f>
        <v/>
      </c>
      <c r="D25" s="32" t="str">
        <f>IF('Normal uger'!BY35&gt;0,'Normal uger'!BY35,"")</f>
        <v/>
      </c>
      <c r="E25" s="32" t="str">
        <f>IF('Normal uger'!CA35&gt;0,'Normal uger'!CA35,"")</f>
        <v/>
      </c>
      <c r="F25" s="32" t="str">
        <f>IF('Normal uger'!CC35&gt;0,'Normal uger'!CC35,"")</f>
        <v/>
      </c>
      <c r="G25" s="638" t="str">
        <f>IF('Normal uger'!CE35&gt;0,'Normal uger'!CE35,"")</f>
        <v/>
      </c>
    </row>
    <row r="26" spans="1:7" ht="20" customHeight="1">
      <c r="A26" s="634" t="str">
        <f>IF('Normal uger'!BS36&gt;0,'Normal uger'!BS36,"")</f>
        <v/>
      </c>
      <c r="B26" s="31" t="str">
        <f>IF('Normal uger'!BU36&gt;0,'Normal uger'!BU36,"")</f>
        <v/>
      </c>
      <c r="C26" s="31" t="str">
        <f>IF('Normal uger'!BW36&gt;0,'Normal uger'!BW36,"")</f>
        <v/>
      </c>
      <c r="D26" s="31" t="str">
        <f>IF('Normal uger'!BY36&gt;0,'Normal uger'!BY36,"")</f>
        <v/>
      </c>
      <c r="E26" s="31" t="str">
        <f>IF('Normal uger'!CA36&gt;0,'Normal uger'!CA36,"")</f>
        <v/>
      </c>
      <c r="F26" s="31" t="str">
        <f>IF('Normal uger'!CC36&gt;0,'Normal uger'!CC36,"")</f>
        <v/>
      </c>
      <c r="G26" s="615" t="str">
        <f>IF('Normal uger'!CE36&gt;0,'Normal uger'!CE36,"")</f>
        <v/>
      </c>
    </row>
    <row r="27" spans="1:7" ht="20" customHeight="1">
      <c r="A27" s="636" t="str">
        <f>IF('Normal uger'!BS37&gt;0,'Normal uger'!BS37,"")</f>
        <v/>
      </c>
      <c r="B27" s="32" t="str">
        <f>IF('Normal uger'!BU37&gt;0,'Normal uger'!BU37,"")</f>
        <v/>
      </c>
      <c r="C27" s="32" t="str">
        <f>IF('Normal uger'!BW37&gt;0,'Normal uger'!BW37,"")</f>
        <v/>
      </c>
      <c r="D27" s="32" t="str">
        <f>IF('Normal uger'!BY37&gt;0,'Normal uger'!BY37,"")</f>
        <v/>
      </c>
      <c r="E27" s="32" t="str">
        <f>IF('Normal uger'!CA37&gt;0,'Normal uger'!CA37,"")</f>
        <v/>
      </c>
      <c r="F27" s="32" t="str">
        <f>IF('Normal uger'!CC37&gt;0,'Normal uger'!CC37,"")</f>
        <v/>
      </c>
      <c r="G27" s="638" t="str">
        <f>IF('Normal uger'!CE37&gt;0,'Normal uger'!CE37,"")</f>
        <v/>
      </c>
    </row>
    <row r="28" spans="1:7" ht="20" customHeight="1">
      <c r="A28" s="634" t="str">
        <f>IF('Normal uger'!BS38&gt;0,'Normal uger'!BS38,"")</f>
        <v/>
      </c>
      <c r="B28" s="31" t="str">
        <f>IF('Normal uger'!BU38&gt;0,'Normal uger'!BU38,"")</f>
        <v/>
      </c>
      <c r="C28" s="31" t="str">
        <f>IF('Normal uger'!BW38&gt;0,'Normal uger'!BW38,"")</f>
        <v/>
      </c>
      <c r="D28" s="31" t="str">
        <f>IF('Normal uger'!BY38&gt;0,'Normal uger'!BY38,"")</f>
        <v/>
      </c>
      <c r="E28" s="31" t="str">
        <f>IF('Normal uger'!CA38&gt;0,'Normal uger'!CA38,"")</f>
        <v/>
      </c>
      <c r="F28" s="31" t="str">
        <f>IF('Normal uger'!CC38&gt;0,'Normal uger'!CC38,"")</f>
        <v/>
      </c>
      <c r="G28" s="615" t="str">
        <f>IF('Normal uger'!CE38&gt;0,'Normal uger'!CE38,"")</f>
        <v/>
      </c>
    </row>
    <row r="29" spans="1:7" ht="20" customHeight="1">
      <c r="A29" s="636" t="str">
        <f>IF('Normal uger'!BS39&gt;0,'Normal uger'!BS39,"")</f>
        <v/>
      </c>
      <c r="B29" s="32" t="str">
        <f>IF('Normal uger'!BU39&gt;0,'Normal uger'!BU39,"")</f>
        <v/>
      </c>
      <c r="C29" s="32" t="str">
        <f>IF('Normal uger'!BW39&gt;0,'Normal uger'!BW39,"")</f>
        <v/>
      </c>
      <c r="D29" s="32" t="str">
        <f>IF('Normal uger'!BY39&gt;0,'Normal uger'!BY39,"")</f>
        <v/>
      </c>
      <c r="E29" s="32" t="str">
        <f>IF('Normal uger'!CA39&gt;0,'Normal uger'!CA39,"")</f>
        <v/>
      </c>
      <c r="F29" s="32" t="str">
        <f>IF('Normal uger'!CC39&gt;0,'Normal uger'!CC39,"")</f>
        <v/>
      </c>
      <c r="G29" s="638" t="str">
        <f>IF('Normal uger'!CE39&gt;0,'Normal uger'!CE39,"")</f>
        <v/>
      </c>
    </row>
    <row r="30" spans="1:7" ht="20" customHeight="1">
      <c r="A30" s="634" t="str">
        <f>IF('Normal uger'!BS40&gt;0,'Normal uger'!BS40,"")</f>
        <v/>
      </c>
      <c r="B30" s="31" t="str">
        <f>IF('Normal uger'!BU40&gt;0,'Normal uger'!BU40,"")</f>
        <v/>
      </c>
      <c r="C30" s="31" t="str">
        <f>IF('Normal uger'!BW40&gt;0,'Normal uger'!BW40,"")</f>
        <v/>
      </c>
      <c r="D30" s="31" t="str">
        <f>IF('Normal uger'!BY40&gt;0,'Normal uger'!BY40,"")</f>
        <v/>
      </c>
      <c r="E30" s="31" t="str">
        <f>IF('Normal uger'!CA40&gt;0,'Normal uger'!CA40,"")</f>
        <v/>
      </c>
      <c r="F30" s="31" t="str">
        <f>IF('Normal uger'!CC40&gt;0,'Normal uger'!CC40,"")</f>
        <v/>
      </c>
      <c r="G30" s="615" t="str">
        <f>IF('Normal uger'!CE40&gt;0,'Normal uger'!CE40,"")</f>
        <v/>
      </c>
    </row>
    <row r="31" spans="1:7" ht="20" customHeight="1" thickBot="1">
      <c r="A31" s="687" t="str">
        <f>IF('Normal uger'!BS41&gt;0,'Normal uger'!BS41,"")</f>
        <v/>
      </c>
      <c r="B31" s="688" t="str">
        <f>IF('Normal uger'!BU41&gt;0,'Normal uger'!BU41,"")</f>
        <v/>
      </c>
      <c r="C31" s="688" t="str">
        <f>IF('Normal uger'!BW41&gt;0,'Normal uger'!BW41,"")</f>
        <v/>
      </c>
      <c r="D31" s="688" t="str">
        <f>IF('Normal uger'!BY41&gt;0,'Normal uger'!BY41,"")</f>
        <v/>
      </c>
      <c r="E31" s="688" t="str">
        <f>IF('Normal uger'!CA41&gt;0,'Normal uger'!CA41,"")</f>
        <v/>
      </c>
      <c r="F31" s="688" t="str">
        <f>IF('Normal uger'!CC41&gt;0,'Normal uger'!CC41,"")</f>
        <v/>
      </c>
      <c r="G31" s="689" t="str">
        <f>IF('Normal uger'!CE41&gt;0,'Normal uger'!CE41,"")</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C148-641D-ED4E-905B-1F5B71CA0AAD}">
  <sheetPr>
    <tabColor theme="4" tint="0.59999389629810485"/>
  </sheetPr>
  <dimension ref="A1:H31"/>
  <sheetViews>
    <sheetView showZeros="0" workbookViewId="0">
      <selection activeCell="E10" sqref="E10"/>
    </sheetView>
  </sheetViews>
  <sheetFormatPr baseColWidth="10" defaultRowHeight="16"/>
  <cols>
    <col min="3" max="8" width="15.83203125" customWidth="1"/>
  </cols>
  <sheetData>
    <row r="1" spans="1:8" ht="32" customHeight="1">
      <c r="A1" s="787" t="str">
        <f>""&amp;Rul!A8&amp;" - "&amp;Stamoplysninger!E14&amp;""</f>
        <v xml:space="preserve">Rullende dage -  - </v>
      </c>
      <c r="B1" s="788"/>
      <c r="C1" s="788"/>
      <c r="D1" s="788"/>
      <c r="E1" s="788"/>
      <c r="F1" s="788"/>
      <c r="G1" s="788"/>
      <c r="H1" s="789"/>
    </row>
    <row r="2" spans="1:8" ht="32" customHeight="1">
      <c r="A2" s="972" t="s">
        <v>114</v>
      </c>
      <c r="B2" s="973"/>
      <c r="C2" s="973"/>
      <c r="D2" s="1177" t="str">
        <f>""&amp;Stamoplysninger!E17&amp;" - "&amp;Stamoplysninger!G17&amp;""</f>
        <v xml:space="preserve"> - </v>
      </c>
      <c r="E2" s="1177"/>
      <c r="F2" s="1177"/>
      <c r="G2" s="1177"/>
      <c r="H2" s="1178"/>
    </row>
    <row r="3" spans="1:8" ht="32" customHeight="1">
      <c r="A3" s="633" t="s">
        <v>55</v>
      </c>
      <c r="B3" s="153" t="s">
        <v>56</v>
      </c>
      <c r="C3" s="154" t="s">
        <v>218</v>
      </c>
      <c r="D3" s="154" t="s">
        <v>219</v>
      </c>
      <c r="E3" s="154" t="s">
        <v>220</v>
      </c>
      <c r="F3" s="154" t="s">
        <v>221</v>
      </c>
      <c r="G3" s="422" t="s">
        <v>222</v>
      </c>
      <c r="H3" s="155" t="s">
        <v>223</v>
      </c>
    </row>
    <row r="4" spans="1:8" ht="20" customHeight="1">
      <c r="A4" s="634" t="str">
        <f>IF(Rul!A12&gt;0,Rul!B12,"")</f>
        <v/>
      </c>
      <c r="B4" s="31" t="str">
        <f>IF(Rul!B12&gt;0,Rul!C12,"")</f>
        <v/>
      </c>
      <c r="C4" s="31" t="str">
        <f>IF(Rul!E12&gt;0,Rul!E12,"")</f>
        <v/>
      </c>
      <c r="D4" s="31" t="str">
        <f>IF(Rul!G12&gt;0,Rul!G12,"")</f>
        <v/>
      </c>
      <c r="E4" s="31" t="str">
        <f>IF(Rul!I12&gt;0,Rul!I12,"")</f>
        <v/>
      </c>
      <c r="F4" s="31" t="str">
        <f>IF(Rul!K12&gt;0,Rul!K12,"")</f>
        <v/>
      </c>
      <c r="G4" s="31" t="str">
        <f>IF(Rul!M12&gt;0,Rul!M12,"")</f>
        <v/>
      </c>
      <c r="H4" s="615" t="str">
        <f>IF(Rul!O12&gt;0,Rul!O12,"")</f>
        <v/>
      </c>
    </row>
    <row r="5" spans="1:8" ht="20" customHeight="1">
      <c r="A5" s="636" t="str">
        <f>IF(Rul!A13&gt;0,Rul!B13,"")</f>
        <v/>
      </c>
      <c r="B5" s="32" t="str">
        <f>IF(Rul!B13&gt;0,Rul!C13,"")</f>
        <v/>
      </c>
      <c r="C5" s="32" t="str">
        <f>IF(Rul!E13&gt;0,Rul!E13,"")</f>
        <v/>
      </c>
      <c r="D5" s="32" t="str">
        <f>IF(Rul!G13&gt;0,Rul!G13,"")</f>
        <v/>
      </c>
      <c r="E5" s="32" t="str">
        <f>IF(Rul!I13&gt;0,Rul!I13,"")</f>
        <v/>
      </c>
      <c r="F5" s="32" t="str">
        <f>IF(Rul!K13&gt;0,Rul!K13,"")</f>
        <v/>
      </c>
      <c r="G5" s="32" t="str">
        <f>IF(Rul!M13&gt;0,Rul!M13,"")</f>
        <v/>
      </c>
      <c r="H5" s="638" t="str">
        <f>IF(Rul!O13&gt;0,Rul!O13,"")</f>
        <v/>
      </c>
    </row>
    <row r="6" spans="1:8" ht="20" customHeight="1">
      <c r="A6" s="634" t="str">
        <f>IF(Rul!A14&gt;0,Rul!B14,"")</f>
        <v/>
      </c>
      <c r="B6" s="31" t="str">
        <f>IF(Rul!B14&gt;0,Rul!C14,"")</f>
        <v/>
      </c>
      <c r="C6" s="31" t="str">
        <f>IF(Rul!E14&gt;0,Rul!E14,"")</f>
        <v/>
      </c>
      <c r="D6" s="31" t="str">
        <f>IF(Rul!G14&gt;0,Rul!G14,"")</f>
        <v/>
      </c>
      <c r="E6" s="31" t="str">
        <f>IF(Rul!I14&gt;0,Rul!I14,"")</f>
        <v/>
      </c>
      <c r="F6" s="31" t="str">
        <f>IF(Rul!K14&gt;0,Rul!K14,"")</f>
        <v/>
      </c>
      <c r="G6" s="31" t="str">
        <f>IF(Rul!M14&gt;0,Rul!M14,"")</f>
        <v/>
      </c>
      <c r="H6" s="615" t="str">
        <f>IF(Rul!O14&gt;0,Rul!O14,"")</f>
        <v/>
      </c>
    </row>
    <row r="7" spans="1:8" ht="20" customHeight="1">
      <c r="A7" s="636" t="str">
        <f>IF(Rul!A15&gt;0,Rul!B15,"")</f>
        <v/>
      </c>
      <c r="B7" s="32" t="str">
        <f>IF(Rul!B15&gt;0,Rul!C15,"")</f>
        <v/>
      </c>
      <c r="C7" s="32" t="str">
        <f>IF(Rul!E15&gt;0,Rul!E15,"")</f>
        <v/>
      </c>
      <c r="D7" s="32" t="str">
        <f>IF(Rul!G15&gt;0,Rul!G15,"")</f>
        <v/>
      </c>
      <c r="E7" s="32" t="str">
        <f>IF(Rul!I15&gt;0,Rul!I15,"")</f>
        <v/>
      </c>
      <c r="F7" s="32" t="str">
        <f>IF(Rul!K15&gt;0,Rul!K15,"")</f>
        <v/>
      </c>
      <c r="G7" s="32" t="str">
        <f>IF(Rul!M15&gt;0,Rul!M15,"")</f>
        <v/>
      </c>
      <c r="H7" s="638" t="str">
        <f>IF(Rul!O15&gt;0,Rul!O15,"")</f>
        <v/>
      </c>
    </row>
    <row r="8" spans="1:8" ht="20" customHeight="1">
      <c r="A8" s="634" t="str">
        <f>IF(Rul!A16&gt;0,Rul!B16,"")</f>
        <v/>
      </c>
      <c r="B8" s="31" t="str">
        <f>IF(Rul!B16&gt;0,Rul!C16,"")</f>
        <v/>
      </c>
      <c r="C8" s="31" t="str">
        <f>IF(Rul!E16&gt;0,Rul!E16,"")</f>
        <v/>
      </c>
      <c r="D8" s="31" t="str">
        <f>IF(Rul!G16&gt;0,Rul!G16,"")</f>
        <v/>
      </c>
      <c r="E8" s="31" t="str">
        <f>IF(Rul!I16&gt;0,Rul!I16,"")</f>
        <v/>
      </c>
      <c r="F8" s="31" t="str">
        <f>IF(Rul!K16&gt;0,Rul!K16,"")</f>
        <v/>
      </c>
      <c r="G8" s="31" t="str">
        <f>IF(Rul!M16&gt;0,Rul!M16,"")</f>
        <v/>
      </c>
      <c r="H8" s="615" t="str">
        <f>IF(Rul!O16&gt;0,Rul!O16,"")</f>
        <v/>
      </c>
    </row>
    <row r="9" spans="1:8" ht="20" customHeight="1">
      <c r="A9" s="636" t="str">
        <f>IF(Rul!A17&gt;0,Rul!B17,"")</f>
        <v/>
      </c>
      <c r="B9" s="32" t="str">
        <f>IF(Rul!B17&gt;0,Rul!C17,"")</f>
        <v/>
      </c>
      <c r="C9" s="32" t="str">
        <f>IF(Rul!E17&gt;0,Rul!E17,"")</f>
        <v/>
      </c>
      <c r="D9" s="32" t="str">
        <f>IF(Rul!G17&gt;0,Rul!G17,"")</f>
        <v/>
      </c>
      <c r="E9" s="32" t="str">
        <f>IF(Rul!I17&gt;0,Rul!I17,"")</f>
        <v/>
      </c>
      <c r="F9" s="32" t="str">
        <f>IF(Rul!K17&gt;0,Rul!K17,"")</f>
        <v/>
      </c>
      <c r="G9" s="32" t="str">
        <f>IF(Rul!M17&gt;0,Rul!M17,"")</f>
        <v/>
      </c>
      <c r="H9" s="638" t="str">
        <f>IF(Rul!O17&gt;0,Rul!O17,"")</f>
        <v/>
      </c>
    </row>
    <row r="10" spans="1:8" ht="20" customHeight="1">
      <c r="A10" s="634" t="str">
        <f>IF(Rul!A18&gt;0,Rul!B18,"")</f>
        <v/>
      </c>
      <c r="B10" s="31" t="str">
        <f>IF(Rul!B18&gt;0,Rul!C18,"")</f>
        <v/>
      </c>
      <c r="C10" s="31" t="str">
        <f>IF(Rul!E18&gt;0,Rul!E18,"")</f>
        <v/>
      </c>
      <c r="D10" s="31" t="str">
        <f>IF(Rul!G18&gt;0,Rul!G18,"")</f>
        <v/>
      </c>
      <c r="E10" s="31" t="str">
        <f>IF(Rul!I18&gt;0,Rul!I18,"")</f>
        <v/>
      </c>
      <c r="F10" s="31" t="str">
        <f>IF(Rul!K18&gt;0,Rul!K18,"")</f>
        <v/>
      </c>
      <c r="G10" s="31" t="str">
        <f>IF(Rul!M18&gt;0,Rul!M18,"")</f>
        <v/>
      </c>
      <c r="H10" s="615" t="str">
        <f>IF(Rul!O18&gt;0,Rul!O18,"")</f>
        <v/>
      </c>
    </row>
    <row r="11" spans="1:8" ht="20" customHeight="1">
      <c r="A11" s="636" t="str">
        <f>IF(Rul!A19&gt;0,Rul!B19,"")</f>
        <v/>
      </c>
      <c r="B11" s="32" t="str">
        <f>IF(Rul!B19&gt;0,Rul!C19,"")</f>
        <v/>
      </c>
      <c r="C11" s="32" t="str">
        <f>IF(Rul!E19&gt;0,Rul!E19,"")</f>
        <v/>
      </c>
      <c r="D11" s="32" t="str">
        <f>IF(Rul!G19&gt;0,Rul!G19,"")</f>
        <v/>
      </c>
      <c r="E11" s="32" t="str">
        <f>IF(Rul!I19&gt;0,Rul!I19,"")</f>
        <v/>
      </c>
      <c r="F11" s="32" t="str">
        <f>IF(Rul!K19&gt;0,Rul!K19,"")</f>
        <v/>
      </c>
      <c r="G11" s="32" t="str">
        <f>IF(Rul!M19&gt;0,Rul!M19,"")</f>
        <v/>
      </c>
      <c r="H11" s="638" t="str">
        <f>IF(Rul!O19&gt;0,Rul!O19,"")</f>
        <v/>
      </c>
    </row>
    <row r="12" spans="1:8" ht="20" customHeight="1">
      <c r="A12" s="634" t="str">
        <f>IF(Rul!A20&gt;0,Rul!B20,"")</f>
        <v/>
      </c>
      <c r="B12" s="31" t="str">
        <f>IF(Rul!B20&gt;0,Rul!C20,"")</f>
        <v/>
      </c>
      <c r="C12" s="31" t="str">
        <f>IF(Rul!E20&gt;0,Rul!E20,"")</f>
        <v/>
      </c>
      <c r="D12" s="31" t="str">
        <f>IF(Rul!G20&gt;0,Rul!G20,"")</f>
        <v/>
      </c>
      <c r="E12" s="31" t="str">
        <f>IF(Rul!I20&gt;0,Rul!I20,"")</f>
        <v/>
      </c>
      <c r="F12" s="31" t="str">
        <f>IF(Rul!K20&gt;0,Rul!K20,"")</f>
        <v/>
      </c>
      <c r="G12" s="31" t="str">
        <f>IF(Rul!M20&gt;0,Rul!M20,"")</f>
        <v/>
      </c>
      <c r="H12" s="615" t="str">
        <f>IF(Rul!O20&gt;0,Rul!O20,"")</f>
        <v/>
      </c>
    </row>
    <row r="13" spans="1:8" ht="20" customHeight="1">
      <c r="A13" s="636" t="str">
        <f>IF(Rul!A21&gt;0,Rul!B21,"")</f>
        <v/>
      </c>
      <c r="B13" s="32" t="str">
        <f>IF(Rul!B21&gt;0,Rul!C21,"")</f>
        <v/>
      </c>
      <c r="C13" s="32" t="str">
        <f>IF(Rul!E21&gt;0,Rul!E21,"")</f>
        <v/>
      </c>
      <c r="D13" s="32" t="str">
        <f>IF(Rul!G21&gt;0,Rul!G21,"")</f>
        <v/>
      </c>
      <c r="E13" s="32" t="str">
        <f>IF(Rul!I21&gt;0,Rul!I21,"")</f>
        <v/>
      </c>
      <c r="F13" s="32" t="str">
        <f>IF(Rul!K21&gt;0,Rul!K21,"")</f>
        <v/>
      </c>
      <c r="G13" s="32" t="str">
        <f>IF(Rul!M21&gt;0,Rul!M21,"")</f>
        <v/>
      </c>
      <c r="H13" s="638" t="str">
        <f>IF(Rul!O21&gt;0,Rul!O21,"")</f>
        <v/>
      </c>
    </row>
    <row r="14" spans="1:8" ht="20" customHeight="1">
      <c r="A14" s="634" t="str">
        <f>IF(Rul!A22&gt;0,Rul!B22,"")</f>
        <v/>
      </c>
      <c r="B14" s="31" t="str">
        <f>IF(Rul!B22&gt;0,Rul!C22,"")</f>
        <v/>
      </c>
      <c r="C14" s="31" t="str">
        <f>IF(Rul!E22&gt;0,Rul!E22,"")</f>
        <v/>
      </c>
      <c r="D14" s="31" t="str">
        <f>IF(Rul!G22&gt;0,Rul!G22,"")</f>
        <v/>
      </c>
      <c r="E14" s="31" t="str">
        <f>IF(Rul!I22&gt;0,Rul!I22,"")</f>
        <v/>
      </c>
      <c r="F14" s="31" t="str">
        <f>IF(Rul!K22&gt;0,Rul!K22,"")</f>
        <v/>
      </c>
      <c r="G14" s="31" t="str">
        <f>IF(Rul!M22&gt;0,Rul!M22,"")</f>
        <v/>
      </c>
      <c r="H14" s="615" t="str">
        <f>IF(Rul!O22&gt;0,Rul!O22,"")</f>
        <v/>
      </c>
    </row>
    <row r="15" spans="1:8" ht="20" customHeight="1">
      <c r="A15" s="636" t="str">
        <f>IF(Rul!A23&gt;0,Rul!B23,"")</f>
        <v/>
      </c>
      <c r="B15" s="32" t="str">
        <f>IF(Rul!B23&gt;0,Rul!C23,"")</f>
        <v/>
      </c>
      <c r="C15" s="32" t="str">
        <f>IF(Rul!E23&gt;0,Rul!E23,"")</f>
        <v/>
      </c>
      <c r="D15" s="32" t="str">
        <f>IF(Rul!G23&gt;0,Rul!G23,"")</f>
        <v/>
      </c>
      <c r="E15" s="32" t="str">
        <f>IF(Rul!I23&gt;0,Rul!I23,"")</f>
        <v/>
      </c>
      <c r="F15" s="32" t="str">
        <f>IF(Rul!K23&gt;0,Rul!K23,"")</f>
        <v/>
      </c>
      <c r="G15" s="32" t="str">
        <f>IF(Rul!M23&gt;0,Rul!M23,"")</f>
        <v/>
      </c>
      <c r="H15" s="638" t="str">
        <f>IF(Rul!O23&gt;0,Rul!O23,"")</f>
        <v/>
      </c>
    </row>
    <row r="16" spans="1:8" ht="20" customHeight="1">
      <c r="A16" s="634" t="str">
        <f>IF(Rul!A24&gt;0,Rul!B24,"")</f>
        <v/>
      </c>
      <c r="B16" s="31" t="str">
        <f>IF(Rul!B24&gt;0,Rul!C24,"")</f>
        <v/>
      </c>
      <c r="C16" s="31" t="str">
        <f>IF(Rul!E24&gt;0,Rul!E24,"")</f>
        <v/>
      </c>
      <c r="D16" s="31" t="str">
        <f>IF(Rul!G24&gt;0,Rul!G24,"")</f>
        <v/>
      </c>
      <c r="E16" s="31" t="str">
        <f>IF(Rul!I24&gt;0,Rul!I24,"")</f>
        <v/>
      </c>
      <c r="F16" s="31" t="str">
        <f>IF(Rul!K24&gt;0,Rul!K24,"")</f>
        <v/>
      </c>
      <c r="G16" s="31" t="str">
        <f>IF(Rul!M24&gt;0,Rul!M24,"")</f>
        <v/>
      </c>
      <c r="H16" s="615" t="str">
        <f>IF(Rul!O24&gt;0,Rul!O24,"")</f>
        <v/>
      </c>
    </row>
    <row r="17" spans="1:8" ht="20" customHeight="1">
      <c r="A17" s="636" t="str">
        <f>IF(Rul!A25&gt;0,Rul!B25,"")</f>
        <v/>
      </c>
      <c r="B17" s="32" t="str">
        <f>IF(Rul!B25&gt;0,Rul!C25,"")</f>
        <v/>
      </c>
      <c r="C17" s="32" t="str">
        <f>IF(Rul!E25&gt;0,Rul!E25,"")</f>
        <v/>
      </c>
      <c r="D17" s="32" t="str">
        <f>IF(Rul!G25&gt;0,Rul!G25,"")</f>
        <v/>
      </c>
      <c r="E17" s="32" t="str">
        <f>IF(Rul!I25&gt;0,Rul!I25,"")</f>
        <v/>
      </c>
      <c r="F17" s="32" t="str">
        <f>IF(Rul!K25&gt;0,Rul!K25,"")</f>
        <v/>
      </c>
      <c r="G17" s="32" t="str">
        <f>IF(Rul!M25&gt;0,Rul!M25,"")</f>
        <v/>
      </c>
      <c r="H17" s="638" t="str">
        <f>IF(Rul!O25&gt;0,Rul!O25,"")</f>
        <v/>
      </c>
    </row>
    <row r="18" spans="1:8" ht="20" customHeight="1">
      <c r="A18" s="634" t="str">
        <f>IF(Rul!A26&gt;0,Rul!B26,"")</f>
        <v/>
      </c>
      <c r="B18" s="31" t="str">
        <f>IF(Rul!B26&gt;0,Rul!C26,"")</f>
        <v/>
      </c>
      <c r="C18" s="31" t="str">
        <f>IF(Rul!E26&gt;0,Rul!E26,"")</f>
        <v/>
      </c>
      <c r="D18" s="31" t="str">
        <f>IF(Rul!G26&gt;0,Rul!G26,"")</f>
        <v/>
      </c>
      <c r="E18" s="31" t="str">
        <f>IF(Rul!I26&gt;0,Rul!I26,"")</f>
        <v/>
      </c>
      <c r="F18" s="31" t="str">
        <f>IF(Rul!K26&gt;0,Rul!K26,"")</f>
        <v/>
      </c>
      <c r="G18" s="31" t="str">
        <f>IF(Rul!M26&gt;0,Rul!M26,"")</f>
        <v/>
      </c>
      <c r="H18" s="615" t="str">
        <f>IF(Rul!O26&gt;0,Rul!O26,"")</f>
        <v/>
      </c>
    </row>
    <row r="19" spans="1:8" ht="20" customHeight="1">
      <c r="A19" s="636" t="str">
        <f>IF(Rul!A27&gt;0,Rul!B27,"")</f>
        <v/>
      </c>
      <c r="B19" s="32" t="str">
        <f>IF(Rul!B27&gt;0,Rul!C27,"")</f>
        <v/>
      </c>
      <c r="C19" s="32" t="str">
        <f>IF(Rul!E27&gt;0,Rul!E27,"")</f>
        <v/>
      </c>
      <c r="D19" s="32" t="str">
        <f>IF(Rul!G27&gt;0,Rul!G27,"")</f>
        <v/>
      </c>
      <c r="E19" s="32" t="str">
        <f>IF(Rul!I27&gt;0,Rul!I27,"")</f>
        <v/>
      </c>
      <c r="F19" s="32" t="str">
        <f>IF(Rul!K27&gt;0,Rul!K27,"")</f>
        <v/>
      </c>
      <c r="G19" s="32" t="str">
        <f>IF(Rul!M27&gt;0,Rul!M27,"")</f>
        <v/>
      </c>
      <c r="H19" s="638" t="str">
        <f>IF(Rul!O27&gt;0,Rul!O27,"")</f>
        <v/>
      </c>
    </row>
    <row r="20" spans="1:8" ht="20" customHeight="1">
      <c r="A20" s="634" t="str">
        <f>IF(Rul!A28&gt;0,Rul!B28,"")</f>
        <v/>
      </c>
      <c r="B20" s="31" t="str">
        <f>IF(Rul!B28&gt;0,Rul!C28,"")</f>
        <v/>
      </c>
      <c r="C20" s="31" t="str">
        <f>IF(Rul!E28&gt;0,Rul!E28,"")</f>
        <v/>
      </c>
      <c r="D20" s="31" t="str">
        <f>IF(Rul!G28&gt;0,Rul!G28,"")</f>
        <v/>
      </c>
      <c r="E20" s="31" t="str">
        <f>IF(Rul!I28&gt;0,Rul!I28,"")</f>
        <v/>
      </c>
      <c r="F20" s="31" t="str">
        <f>IF(Rul!K28&gt;0,Rul!K28,"")</f>
        <v/>
      </c>
      <c r="G20" s="31" t="str">
        <f>IF(Rul!M28&gt;0,Rul!M28,"")</f>
        <v/>
      </c>
      <c r="H20" s="615" t="str">
        <f>IF(Rul!O28&gt;0,Rul!O28,"")</f>
        <v/>
      </c>
    </row>
    <row r="21" spans="1:8" ht="20" customHeight="1">
      <c r="A21" s="636" t="str">
        <f>IF(Rul!A29&gt;0,Rul!B29,"")</f>
        <v/>
      </c>
      <c r="B21" s="32" t="str">
        <f>IF(Rul!B29&gt;0,Rul!C29,"")</f>
        <v/>
      </c>
      <c r="C21" s="32" t="str">
        <f>IF(Rul!E29&gt;0,Rul!E29,"")</f>
        <v/>
      </c>
      <c r="D21" s="32" t="str">
        <f>IF(Rul!G29&gt;0,Rul!G29,"")</f>
        <v/>
      </c>
      <c r="E21" s="32" t="str">
        <f>IF(Rul!I29&gt;0,Rul!I29,"")</f>
        <v/>
      </c>
      <c r="F21" s="32" t="str">
        <f>IF(Rul!K29&gt;0,Rul!K29,"")</f>
        <v/>
      </c>
      <c r="G21" s="32" t="str">
        <f>IF(Rul!M29&gt;0,Rul!M29,"")</f>
        <v/>
      </c>
      <c r="H21" s="638" t="str">
        <f>IF(Rul!O29&gt;0,Rul!O29,"")</f>
        <v/>
      </c>
    </row>
    <row r="22" spans="1:8" ht="20" customHeight="1">
      <c r="A22" s="634" t="str">
        <f>IF(Rul!A30&gt;0,Rul!B30,"")</f>
        <v/>
      </c>
      <c r="B22" s="31" t="str">
        <f>IF(Rul!B30&gt;0,Rul!C30,"")</f>
        <v/>
      </c>
      <c r="C22" s="31" t="str">
        <f>IF(Rul!E30&gt;0,Rul!E30,"")</f>
        <v/>
      </c>
      <c r="D22" s="31" t="str">
        <f>IF(Rul!G30&gt;0,Rul!G30,"")</f>
        <v/>
      </c>
      <c r="E22" s="31" t="str">
        <f>IF(Rul!I30&gt;0,Rul!I30,"")</f>
        <v/>
      </c>
      <c r="F22" s="31" t="str">
        <f>IF(Rul!K30&gt;0,Rul!K30,"")</f>
        <v/>
      </c>
      <c r="G22" s="31" t="str">
        <f>IF(Rul!M30&gt;0,Rul!M30,"")</f>
        <v/>
      </c>
      <c r="H22" s="615" t="str">
        <f>IF(Rul!O30&gt;0,Rul!O30,"")</f>
        <v/>
      </c>
    </row>
    <row r="23" spans="1:8" ht="20" customHeight="1">
      <c r="A23" s="636" t="str">
        <f>IF(Rul!A31&gt;0,Rul!B31,"")</f>
        <v/>
      </c>
      <c r="B23" s="32" t="str">
        <f>IF(Rul!B31&gt;0,Rul!C31,"")</f>
        <v/>
      </c>
      <c r="C23" s="32" t="str">
        <f>IF(Rul!E31&gt;0,Rul!E31,"")</f>
        <v/>
      </c>
      <c r="D23" s="32" t="str">
        <f>IF(Rul!G31&gt;0,Rul!G31,"")</f>
        <v/>
      </c>
      <c r="E23" s="32" t="str">
        <f>IF(Rul!I31&gt;0,Rul!I31,"")</f>
        <v/>
      </c>
      <c r="F23" s="32" t="str">
        <f>IF(Rul!K31&gt;0,Rul!K31,"")</f>
        <v/>
      </c>
      <c r="G23" s="32" t="str">
        <f>IF(Rul!M31&gt;0,Rul!M31,"")</f>
        <v/>
      </c>
      <c r="H23" s="638" t="str">
        <f>IF(Rul!O31&gt;0,Rul!O31,"")</f>
        <v/>
      </c>
    </row>
    <row r="24" spans="1:8" ht="20" customHeight="1">
      <c r="A24" s="634" t="str">
        <f>IF(Rul!A32&gt;0,Rul!B32,"")</f>
        <v/>
      </c>
      <c r="B24" s="31" t="str">
        <f>IF(Rul!B32&gt;0,Rul!C32,"")</f>
        <v/>
      </c>
      <c r="C24" s="31" t="str">
        <f>IF(Rul!E32&gt;0,Rul!E32,"")</f>
        <v/>
      </c>
      <c r="D24" s="31" t="str">
        <f>IF(Rul!G32&gt;0,Rul!G32,"")</f>
        <v/>
      </c>
      <c r="E24" s="31" t="str">
        <f>IF(Rul!I32&gt;0,Rul!I32,"")</f>
        <v/>
      </c>
      <c r="F24" s="31" t="str">
        <f>IF(Rul!K32&gt;0,Rul!K32,"")</f>
        <v/>
      </c>
      <c r="G24" s="31" t="str">
        <f>IF(Rul!M32&gt;0,Rul!M32,"")</f>
        <v/>
      </c>
      <c r="H24" s="615" t="str">
        <f>IF(Rul!O32&gt;0,Rul!O32,"")</f>
        <v/>
      </c>
    </row>
    <row r="25" spans="1:8" ht="20" customHeight="1">
      <c r="A25" s="636" t="str">
        <f>IF(Rul!A33&gt;0,Rul!B33,"")</f>
        <v/>
      </c>
      <c r="B25" s="32" t="str">
        <f>IF(Rul!B33&gt;0,Rul!C33,"")</f>
        <v/>
      </c>
      <c r="C25" s="32" t="str">
        <f>IF(Rul!E33&gt;0,Rul!E33,"")</f>
        <v/>
      </c>
      <c r="D25" s="32" t="str">
        <f>IF(Rul!G33&gt;0,Rul!G33,"")</f>
        <v/>
      </c>
      <c r="E25" s="32" t="str">
        <f>IF(Rul!I33&gt;0,Rul!I33,"")</f>
        <v/>
      </c>
      <c r="F25" s="32" t="str">
        <f>IF(Rul!K33&gt;0,Rul!K33,"")</f>
        <v/>
      </c>
      <c r="G25" s="32" t="str">
        <f>IF(Rul!M33&gt;0,Rul!M33,"")</f>
        <v/>
      </c>
      <c r="H25" s="638" t="str">
        <f>IF(Rul!O33&gt;0,Rul!O33,"")</f>
        <v/>
      </c>
    </row>
    <row r="26" spans="1:8" ht="20" customHeight="1">
      <c r="A26" s="634" t="str">
        <f>IF(Rul!A34&gt;0,Rul!B34,"")</f>
        <v/>
      </c>
      <c r="B26" s="31" t="str">
        <f>IF(Rul!B34&gt;0,Rul!C34,"")</f>
        <v/>
      </c>
      <c r="C26" s="31" t="str">
        <f>IF(Rul!E34&gt;0,Rul!E34,"")</f>
        <v/>
      </c>
      <c r="D26" s="31" t="str">
        <f>IF(Rul!G34&gt;0,Rul!G34,"")</f>
        <v/>
      </c>
      <c r="E26" s="31" t="str">
        <f>IF(Rul!I34&gt;0,Rul!I34,"")</f>
        <v/>
      </c>
      <c r="F26" s="31" t="str">
        <f>IF(Rul!K34&gt;0,Rul!K34,"")</f>
        <v/>
      </c>
      <c r="G26" s="31" t="str">
        <f>IF(Rul!M34&gt;0,Rul!M34,"")</f>
        <v/>
      </c>
      <c r="H26" s="615" t="str">
        <f>IF(Rul!O34&gt;0,Rul!O34,"")</f>
        <v/>
      </c>
    </row>
    <row r="27" spans="1:8" ht="20" customHeight="1">
      <c r="A27" s="636" t="str">
        <f>IF(Rul!A35&gt;0,Rul!B35,"")</f>
        <v/>
      </c>
      <c r="B27" s="32" t="str">
        <f>IF(Rul!B35&gt;0,Rul!C35,"")</f>
        <v/>
      </c>
      <c r="C27" s="32" t="str">
        <f>IF(Rul!E35&gt;0,Rul!E35,"")</f>
        <v/>
      </c>
      <c r="D27" s="32" t="str">
        <f>IF(Rul!G35&gt;0,Rul!G35,"")</f>
        <v/>
      </c>
      <c r="E27" s="32" t="str">
        <f>IF(Rul!I35&gt;0,Rul!I35,"")</f>
        <v/>
      </c>
      <c r="F27" s="32" t="str">
        <f>IF(Rul!K35&gt;0,Rul!K35,"")</f>
        <v/>
      </c>
      <c r="G27" s="32" t="str">
        <f>IF(Rul!M35&gt;0,Rul!M35,"")</f>
        <v/>
      </c>
      <c r="H27" s="638" t="str">
        <f>IF(Rul!O35&gt;0,Rul!O35,"")</f>
        <v/>
      </c>
    </row>
    <row r="28" spans="1:8" ht="20" customHeight="1">
      <c r="A28" s="634" t="str">
        <f>IF(Rul!A36&gt;0,Rul!B36,"")</f>
        <v/>
      </c>
      <c r="B28" s="31" t="str">
        <f>IF(Rul!B36&gt;0,Rul!C36,"")</f>
        <v/>
      </c>
      <c r="C28" s="31" t="str">
        <f>IF(Rul!E36&gt;0,Rul!E36,"")</f>
        <v/>
      </c>
      <c r="D28" s="31" t="str">
        <f>IF(Rul!G36&gt;0,Rul!G36,"")</f>
        <v/>
      </c>
      <c r="E28" s="31" t="str">
        <f>IF(Rul!I36&gt;0,Rul!I36,"")</f>
        <v/>
      </c>
      <c r="F28" s="31" t="str">
        <f>IF(Rul!K36&gt;0,Rul!K36,"")</f>
        <v/>
      </c>
      <c r="G28" s="31" t="str">
        <f>IF(Rul!M36&gt;0,Rul!M36,"")</f>
        <v/>
      </c>
      <c r="H28" s="615" t="str">
        <f>IF(Rul!O36&gt;0,Rul!O36,"")</f>
        <v/>
      </c>
    </row>
    <row r="29" spans="1:8" ht="20" customHeight="1">
      <c r="A29" s="636" t="str">
        <f>IF(Rul!A37&gt;0,Rul!B37,"")</f>
        <v/>
      </c>
      <c r="B29" s="32" t="str">
        <f>IF(Rul!B37&gt;0,Rul!C37,"")</f>
        <v/>
      </c>
      <c r="C29" s="32" t="str">
        <f>IF(Rul!E37&gt;0,Rul!E37,"")</f>
        <v/>
      </c>
      <c r="D29" s="32" t="str">
        <f>IF(Rul!G37&gt;0,Rul!G37,"")</f>
        <v/>
      </c>
      <c r="E29" s="32" t="str">
        <f>IF(Rul!I37&gt;0,Rul!I37,"")</f>
        <v/>
      </c>
      <c r="F29" s="32" t="str">
        <f>IF(Rul!K37&gt;0,Rul!K37,"")</f>
        <v/>
      </c>
      <c r="G29" s="32" t="str">
        <f>IF(Rul!M37&gt;0,Rul!M37,"")</f>
        <v/>
      </c>
      <c r="H29" s="638" t="str">
        <f>IF(Rul!O37&gt;0,Rul!O37,"")</f>
        <v/>
      </c>
    </row>
    <row r="30" spans="1:8" ht="20" customHeight="1">
      <c r="A30" s="634" t="str">
        <f>IF(Rul!A38&gt;0,Rul!B38,"")</f>
        <v/>
      </c>
      <c r="B30" s="31" t="str">
        <f>IF(Rul!B38&gt;0,Rul!C38,"")</f>
        <v/>
      </c>
      <c r="C30" s="31" t="str">
        <f>IF(Rul!E38&gt;0,Rul!E38,"")</f>
        <v/>
      </c>
      <c r="D30" s="31" t="str">
        <f>IF(Rul!G38&gt;0,Rul!G38,"")</f>
        <v/>
      </c>
      <c r="E30" s="31" t="str">
        <f>IF(Rul!I38&gt;0,Rul!I38,"")</f>
        <v/>
      </c>
      <c r="F30" s="31" t="str">
        <f>IF(Rul!K38&gt;0,Rul!K38,"")</f>
        <v/>
      </c>
      <c r="G30" s="31" t="str">
        <f>IF(Rul!M38&gt;0,Rul!M38,"")</f>
        <v/>
      </c>
      <c r="H30" s="615" t="str">
        <f>IF(Rul!O38&gt;0,Rul!O38,"")</f>
        <v/>
      </c>
    </row>
    <row r="31" spans="1:8" ht="20" customHeight="1" thickBot="1">
      <c r="A31" s="687" t="str">
        <f>IF(Rul!A39&gt;0,Rul!B39,"")</f>
        <v/>
      </c>
      <c r="B31" s="688" t="str">
        <f>IF(Rul!B39&gt;0,Rul!C39,"")</f>
        <v/>
      </c>
      <c r="C31" s="688" t="str">
        <f>IF(Rul!E39&gt;0,Rul!E39,"")</f>
        <v/>
      </c>
      <c r="D31" s="688" t="str">
        <f>IF(Rul!G39&gt;0,Rul!G39,"")</f>
        <v/>
      </c>
      <c r="E31" s="688" t="str">
        <f>IF(Rul!I39&gt;0,Rul!I39,"")</f>
        <v/>
      </c>
      <c r="F31" s="688" t="str">
        <f>IF(Rul!K39&gt;0,Rul!K39,"")</f>
        <v/>
      </c>
      <c r="G31" s="688" t="str">
        <f>IF(Rul!M39&gt;0,Rul!M39,"")</f>
        <v/>
      </c>
      <c r="H31" s="689" t="str">
        <f>IF(Rul!O39&gt;0,Rul!O39,"")</f>
        <v/>
      </c>
    </row>
  </sheetData>
  <sheetProtection sheet="1" objects="1" scenarios="1"/>
  <mergeCells count="3">
    <mergeCell ref="A2:C2"/>
    <mergeCell ref="A1:H1"/>
    <mergeCell ref="D2:H2"/>
  </mergeCells>
  <pageMargins left="0.7" right="0.7" top="0.75" bottom="0.75" header="0.3" footer="0.3"/>
  <pageSetup paperSize="9"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28839-0A38-0542-83BA-78721A8F3846}">
  <sheetPr>
    <pageSetUpPr fitToPage="1"/>
  </sheetPr>
  <dimension ref="A1:AW33"/>
  <sheetViews>
    <sheetView topLeftCell="F1" workbookViewId="0">
      <selection activeCell="F2" sqref="F2"/>
    </sheetView>
  </sheetViews>
  <sheetFormatPr baseColWidth="10" defaultRowHeight="16"/>
  <cols>
    <col min="1" max="1" width="2.83203125" customWidth="1"/>
    <col min="2" max="2" width="3.5" customWidth="1"/>
    <col min="3" max="3" width="11.83203125" customWidth="1"/>
    <col min="4" max="4" width="2.83203125" style="95"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178" t="s">
        <v>479</v>
      </c>
      <c r="B1" s="179"/>
      <c r="C1" s="180"/>
      <c r="D1" s="181"/>
      <c r="E1" s="180"/>
      <c r="F1" s="179" t="str">
        <f>"Årskalender for "&amp;Stamoplysninger!E13&amp;" - skoleåret 2025-2026"</f>
        <v>Årskalender for  - skoleåret 2025-2026</v>
      </c>
      <c r="G1" s="180"/>
      <c r="H1" s="181"/>
      <c r="I1" s="180"/>
      <c r="J1" s="179"/>
      <c r="K1" s="180"/>
      <c r="L1" s="181"/>
      <c r="M1" s="180"/>
      <c r="N1" s="179"/>
      <c r="O1" s="180"/>
      <c r="P1" s="181"/>
      <c r="Q1" s="180"/>
      <c r="R1" s="179"/>
      <c r="S1" s="180"/>
      <c r="T1" s="181"/>
      <c r="U1" s="180"/>
      <c r="V1" s="179"/>
      <c r="W1" s="180"/>
      <c r="X1" s="181"/>
      <c r="Y1" s="180"/>
      <c r="Z1" s="179"/>
      <c r="AA1" s="180"/>
      <c r="AB1" s="181"/>
      <c r="AC1" s="180"/>
      <c r="AD1" s="179"/>
      <c r="AE1" s="180"/>
      <c r="AF1" s="181"/>
      <c r="AG1" s="180"/>
      <c r="AH1" s="179"/>
      <c r="AI1" s="180"/>
      <c r="AJ1" s="181"/>
      <c r="AK1" s="180"/>
      <c r="AL1" s="179"/>
      <c r="AM1" s="180"/>
      <c r="AN1" s="181"/>
      <c r="AO1" s="180"/>
      <c r="AP1" s="179"/>
      <c r="AQ1" s="180"/>
      <c r="AR1" s="181"/>
      <c r="AS1" s="180"/>
      <c r="AT1" s="179"/>
      <c r="AU1" s="180"/>
      <c r="AV1" s="182"/>
    </row>
    <row r="2" spans="1:48" ht="18">
      <c r="A2" s="183" t="s">
        <v>58</v>
      </c>
      <c r="B2" s="184"/>
      <c r="C2" s="185"/>
      <c r="D2" s="186"/>
      <c r="E2" s="183" t="s">
        <v>59</v>
      </c>
      <c r="F2" s="184"/>
      <c r="G2" s="185"/>
      <c r="H2" s="186"/>
      <c r="I2" s="187" t="s">
        <v>60</v>
      </c>
      <c r="J2" s="184"/>
      <c r="K2" s="185"/>
      <c r="L2" s="186"/>
      <c r="M2" s="183" t="s">
        <v>61</v>
      </c>
      <c r="N2" s="184"/>
      <c r="O2" s="185"/>
      <c r="P2" s="186"/>
      <c r="Q2" s="183" t="s">
        <v>62</v>
      </c>
      <c r="R2" s="184"/>
      <c r="S2" s="185"/>
      <c r="T2" s="186"/>
      <c r="U2" s="183" t="s">
        <v>63</v>
      </c>
      <c r="V2" s="184"/>
      <c r="W2" s="185"/>
      <c r="X2" s="186"/>
      <c r="Y2" s="187" t="s">
        <v>65</v>
      </c>
      <c r="Z2" s="184"/>
      <c r="AA2" s="185"/>
      <c r="AB2" s="186"/>
      <c r="AC2" s="183" t="s">
        <v>66</v>
      </c>
      <c r="AD2" s="184"/>
      <c r="AE2" s="185"/>
      <c r="AF2" s="186"/>
      <c r="AG2" s="183" t="s">
        <v>67</v>
      </c>
      <c r="AH2" s="184"/>
      <c r="AI2" s="185"/>
      <c r="AJ2" s="186"/>
      <c r="AK2" s="183" t="s">
        <v>68</v>
      </c>
      <c r="AL2" s="184"/>
      <c r="AM2" s="185"/>
      <c r="AN2" s="186"/>
      <c r="AO2" s="183" t="s">
        <v>69</v>
      </c>
      <c r="AP2" s="184"/>
      <c r="AQ2" s="185"/>
      <c r="AR2" s="186"/>
      <c r="AS2" s="183" t="s">
        <v>70</v>
      </c>
      <c r="AT2" s="184"/>
      <c r="AU2" s="185"/>
      <c r="AV2" s="186"/>
    </row>
    <row r="3" spans="1:48">
      <c r="A3" s="307">
        <v>1</v>
      </c>
      <c r="B3" s="308" t="s">
        <v>96</v>
      </c>
      <c r="C3" s="309"/>
      <c r="D3" s="310" t="s">
        <v>85</v>
      </c>
      <c r="E3" s="307">
        <v>1</v>
      </c>
      <c r="F3" s="308" t="s">
        <v>93</v>
      </c>
      <c r="G3" s="309"/>
      <c r="H3" s="311">
        <v>35.714285714285715</v>
      </c>
      <c r="I3" s="307">
        <v>1</v>
      </c>
      <c r="J3" s="308" t="s">
        <v>91</v>
      </c>
      <c r="K3" s="309"/>
      <c r="L3" s="316" t="s">
        <v>85</v>
      </c>
      <c r="M3" s="312">
        <v>1</v>
      </c>
      <c r="N3" s="313" t="s">
        <v>92</v>
      </c>
      <c r="O3" s="314"/>
      <c r="P3" s="315" t="s">
        <v>85</v>
      </c>
      <c r="Q3" s="307">
        <v>1</v>
      </c>
      <c r="R3" s="308" t="s">
        <v>93</v>
      </c>
      <c r="S3" s="309"/>
      <c r="T3" s="316">
        <v>48.714285714285715</v>
      </c>
      <c r="U3" s="307">
        <v>1</v>
      </c>
      <c r="V3" s="308" t="s">
        <v>94</v>
      </c>
      <c r="W3" s="309" t="s">
        <v>84</v>
      </c>
      <c r="X3" s="316" t="s">
        <v>85</v>
      </c>
      <c r="Y3" s="312">
        <v>1</v>
      </c>
      <c r="Z3" s="313" t="s">
        <v>97</v>
      </c>
      <c r="AA3" s="314"/>
      <c r="AB3" s="317" t="s">
        <v>85</v>
      </c>
      <c r="AC3" s="312">
        <v>1</v>
      </c>
      <c r="AD3" s="313" t="s">
        <v>97</v>
      </c>
      <c r="AE3" s="314"/>
      <c r="AF3" s="315" t="s">
        <v>85</v>
      </c>
      <c r="AG3" s="307">
        <v>1</v>
      </c>
      <c r="AH3" s="308" t="s">
        <v>91</v>
      </c>
      <c r="AI3" s="309"/>
      <c r="AJ3" s="311" t="s">
        <v>85</v>
      </c>
      <c r="AK3" s="307">
        <v>1</v>
      </c>
      <c r="AL3" s="308" t="s">
        <v>96</v>
      </c>
      <c r="AM3" s="309"/>
      <c r="AN3" s="316" t="s">
        <v>85</v>
      </c>
      <c r="AO3" s="307">
        <v>1</v>
      </c>
      <c r="AP3" s="308" t="s">
        <v>93</v>
      </c>
      <c r="AQ3" s="309"/>
      <c r="AR3" s="311">
        <v>22.571428571428573</v>
      </c>
      <c r="AS3" s="307">
        <v>1</v>
      </c>
      <c r="AT3" s="308" t="s">
        <v>91</v>
      </c>
      <c r="AU3" s="309"/>
      <c r="AV3" s="316" t="s">
        <v>85</v>
      </c>
    </row>
    <row r="4" spans="1:48">
      <c r="A4" s="312">
        <v>2</v>
      </c>
      <c r="B4" s="313" t="s">
        <v>92</v>
      </c>
      <c r="C4" s="314"/>
      <c r="D4" s="662" t="s">
        <v>85</v>
      </c>
      <c r="E4" s="307">
        <v>2</v>
      </c>
      <c r="F4" s="308" t="s">
        <v>95</v>
      </c>
      <c r="G4" s="309"/>
      <c r="H4" s="311" t="s">
        <v>85</v>
      </c>
      <c r="I4" s="307">
        <v>2</v>
      </c>
      <c r="J4" s="308" t="s">
        <v>94</v>
      </c>
      <c r="K4" s="309"/>
      <c r="L4" s="316" t="s">
        <v>85</v>
      </c>
      <c r="M4" s="312">
        <v>2</v>
      </c>
      <c r="N4" s="313" t="s">
        <v>97</v>
      </c>
      <c r="O4" s="314"/>
      <c r="P4" s="315" t="s">
        <v>85</v>
      </c>
      <c r="Q4" s="307">
        <v>2</v>
      </c>
      <c r="R4" s="308" t="s">
        <v>95</v>
      </c>
      <c r="S4" s="309"/>
      <c r="T4" s="316" t="s">
        <v>85</v>
      </c>
      <c r="U4" s="307">
        <v>2</v>
      </c>
      <c r="V4" s="308" t="s">
        <v>96</v>
      </c>
      <c r="W4" s="309"/>
      <c r="X4" s="316" t="s">
        <v>85</v>
      </c>
      <c r="Y4" s="307">
        <v>2</v>
      </c>
      <c r="Z4" s="308" t="s">
        <v>93</v>
      </c>
      <c r="AA4" s="309"/>
      <c r="AB4" s="311">
        <v>5.5714285714285712</v>
      </c>
      <c r="AC4" s="307">
        <v>2</v>
      </c>
      <c r="AD4" s="308" t="s">
        <v>93</v>
      </c>
      <c r="AE4" s="309"/>
      <c r="AF4" s="316">
        <v>9.5714285714285712</v>
      </c>
      <c r="AG4" s="307">
        <v>2</v>
      </c>
      <c r="AH4" s="308" t="s">
        <v>94</v>
      </c>
      <c r="AI4" s="309" t="s">
        <v>71</v>
      </c>
      <c r="AJ4" s="311" t="s">
        <v>85</v>
      </c>
      <c r="AK4" s="312">
        <v>2</v>
      </c>
      <c r="AL4" s="313" t="s">
        <v>92</v>
      </c>
      <c r="AM4" s="314"/>
      <c r="AN4" s="315" t="s">
        <v>85</v>
      </c>
      <c r="AO4" s="307">
        <v>2</v>
      </c>
      <c r="AP4" s="308" t="s">
        <v>95</v>
      </c>
      <c r="AQ4" s="309"/>
      <c r="AR4" s="311" t="s">
        <v>85</v>
      </c>
      <c r="AS4" s="307">
        <v>2</v>
      </c>
      <c r="AT4" s="308" t="s">
        <v>94</v>
      </c>
      <c r="AU4" s="309"/>
      <c r="AV4" s="316" t="s">
        <v>85</v>
      </c>
    </row>
    <row r="5" spans="1:48">
      <c r="A5" s="312">
        <v>3</v>
      </c>
      <c r="B5" s="313" t="s">
        <v>97</v>
      </c>
      <c r="C5" s="314"/>
      <c r="D5" s="662" t="s">
        <v>85</v>
      </c>
      <c r="E5" s="307">
        <v>3</v>
      </c>
      <c r="F5" s="308" t="s">
        <v>91</v>
      </c>
      <c r="G5" s="309"/>
      <c r="H5" s="311" t="s">
        <v>85</v>
      </c>
      <c r="I5" s="307">
        <v>3</v>
      </c>
      <c r="J5" s="308" t="s">
        <v>96</v>
      </c>
      <c r="K5" s="309"/>
      <c r="L5" s="316" t="s">
        <v>85</v>
      </c>
      <c r="M5" s="307">
        <v>3</v>
      </c>
      <c r="N5" s="308" t="s">
        <v>93</v>
      </c>
      <c r="O5" s="309"/>
      <c r="P5" s="316">
        <v>44.714285714285715</v>
      </c>
      <c r="Q5" s="307">
        <v>3</v>
      </c>
      <c r="R5" s="308" t="s">
        <v>91</v>
      </c>
      <c r="S5" s="309"/>
      <c r="T5" s="316" t="s">
        <v>85</v>
      </c>
      <c r="U5" s="312">
        <v>3</v>
      </c>
      <c r="V5" s="313" t="s">
        <v>92</v>
      </c>
      <c r="W5" s="314"/>
      <c r="X5" s="315" t="s">
        <v>85</v>
      </c>
      <c r="Y5" s="307">
        <v>3</v>
      </c>
      <c r="Z5" s="308" t="s">
        <v>95</v>
      </c>
      <c r="AA5" s="309"/>
      <c r="AB5" s="311" t="s">
        <v>85</v>
      </c>
      <c r="AC5" s="307">
        <v>3</v>
      </c>
      <c r="AD5" s="308" t="s">
        <v>95</v>
      </c>
      <c r="AE5" s="309"/>
      <c r="AF5" s="316" t="s">
        <v>85</v>
      </c>
      <c r="AG5" s="307">
        <v>3</v>
      </c>
      <c r="AH5" s="308" t="s">
        <v>96</v>
      </c>
      <c r="AI5" s="309" t="s">
        <v>101</v>
      </c>
      <c r="AJ5" s="311" t="s">
        <v>85</v>
      </c>
      <c r="AK5" s="312">
        <v>3</v>
      </c>
      <c r="AL5" s="313" t="s">
        <v>97</v>
      </c>
      <c r="AM5" s="314"/>
      <c r="AN5" s="315" t="s">
        <v>85</v>
      </c>
      <c r="AO5" s="307">
        <v>3</v>
      </c>
      <c r="AP5" s="308" t="s">
        <v>91</v>
      </c>
      <c r="AQ5" s="309"/>
      <c r="AR5" s="311" t="s">
        <v>85</v>
      </c>
      <c r="AS5" s="307">
        <v>3</v>
      </c>
      <c r="AT5" s="308" t="s">
        <v>96</v>
      </c>
      <c r="AU5" s="309"/>
      <c r="AV5" s="316" t="s">
        <v>85</v>
      </c>
    </row>
    <row r="6" spans="1:48">
      <c r="A6" s="307">
        <v>4</v>
      </c>
      <c r="B6" s="308" t="s">
        <v>93</v>
      </c>
      <c r="C6" s="309"/>
      <c r="D6" s="310">
        <v>31.714285714285715</v>
      </c>
      <c r="E6" s="307">
        <v>4</v>
      </c>
      <c r="F6" s="308" t="s">
        <v>94</v>
      </c>
      <c r="G6" s="309"/>
      <c r="H6" s="311" t="s">
        <v>85</v>
      </c>
      <c r="I6" s="312">
        <v>4</v>
      </c>
      <c r="J6" s="313" t="s">
        <v>92</v>
      </c>
      <c r="K6" s="314"/>
      <c r="L6" s="315" t="s">
        <v>85</v>
      </c>
      <c r="M6" s="307">
        <v>4</v>
      </c>
      <c r="N6" s="308" t="s">
        <v>95</v>
      </c>
      <c r="O6" s="309"/>
      <c r="P6" s="316" t="s">
        <v>85</v>
      </c>
      <c r="Q6" s="307">
        <v>4</v>
      </c>
      <c r="R6" s="308" t="s">
        <v>94</v>
      </c>
      <c r="S6" s="309"/>
      <c r="T6" s="316" t="s">
        <v>85</v>
      </c>
      <c r="U6" s="312">
        <v>4</v>
      </c>
      <c r="V6" s="313" t="s">
        <v>97</v>
      </c>
      <c r="W6" s="314"/>
      <c r="X6" s="315" t="s">
        <v>85</v>
      </c>
      <c r="Y6" s="307">
        <v>4</v>
      </c>
      <c r="Z6" s="308" t="s">
        <v>91</v>
      </c>
      <c r="AA6" s="309"/>
      <c r="AB6" s="311" t="s">
        <v>85</v>
      </c>
      <c r="AC6" s="307">
        <v>4</v>
      </c>
      <c r="AD6" s="308" t="s">
        <v>91</v>
      </c>
      <c r="AE6" s="309"/>
      <c r="AF6" s="316" t="s">
        <v>85</v>
      </c>
      <c r="AG6" s="312">
        <v>4</v>
      </c>
      <c r="AH6" s="313" t="s">
        <v>92</v>
      </c>
      <c r="AI6" s="314"/>
      <c r="AJ6" s="317" t="s">
        <v>85</v>
      </c>
      <c r="AK6" s="307">
        <v>4</v>
      </c>
      <c r="AL6" s="308" t="s">
        <v>93</v>
      </c>
      <c r="AM6" s="309"/>
      <c r="AN6" s="316">
        <v>18.571428571428573</v>
      </c>
      <c r="AO6" s="307">
        <v>4</v>
      </c>
      <c r="AP6" s="308" t="s">
        <v>94</v>
      </c>
      <c r="AQ6" s="309"/>
      <c r="AR6" s="311" t="s">
        <v>85</v>
      </c>
      <c r="AS6" s="312">
        <v>4</v>
      </c>
      <c r="AT6" s="313" t="s">
        <v>92</v>
      </c>
      <c r="AU6" s="314"/>
      <c r="AV6" s="315" t="s">
        <v>85</v>
      </c>
    </row>
    <row r="7" spans="1:48">
      <c r="A7" s="307">
        <v>5</v>
      </c>
      <c r="B7" s="308" t="s">
        <v>95</v>
      </c>
      <c r="C7" s="309"/>
      <c r="D7" s="319" t="s">
        <v>85</v>
      </c>
      <c r="E7" s="307">
        <v>5</v>
      </c>
      <c r="F7" s="308" t="s">
        <v>96</v>
      </c>
      <c r="G7" s="309"/>
      <c r="H7" s="311" t="s">
        <v>85</v>
      </c>
      <c r="I7" s="312">
        <v>5</v>
      </c>
      <c r="J7" s="313" t="s">
        <v>97</v>
      </c>
      <c r="K7" s="314"/>
      <c r="L7" s="315" t="s">
        <v>85</v>
      </c>
      <c r="M7" s="307">
        <v>5</v>
      </c>
      <c r="N7" s="308" t="s">
        <v>91</v>
      </c>
      <c r="O7" s="309"/>
      <c r="P7" s="316" t="s">
        <v>85</v>
      </c>
      <c r="Q7" s="307">
        <v>5</v>
      </c>
      <c r="R7" s="308" t="s">
        <v>96</v>
      </c>
      <c r="S7" s="309"/>
      <c r="T7" s="316" t="s">
        <v>85</v>
      </c>
      <c r="U7" s="307">
        <v>5</v>
      </c>
      <c r="V7" s="308" t="s">
        <v>93</v>
      </c>
      <c r="W7" s="309"/>
      <c r="X7" s="316">
        <v>1.5714285714285714</v>
      </c>
      <c r="Y7" s="307">
        <v>5</v>
      </c>
      <c r="Z7" s="308" t="s">
        <v>94</v>
      </c>
      <c r="AA7" s="309"/>
      <c r="AB7" s="311" t="s">
        <v>85</v>
      </c>
      <c r="AC7" s="307">
        <v>5</v>
      </c>
      <c r="AD7" s="308" t="s">
        <v>94</v>
      </c>
      <c r="AE7" s="309"/>
      <c r="AF7" s="316" t="s">
        <v>85</v>
      </c>
      <c r="AG7" s="312">
        <v>5</v>
      </c>
      <c r="AH7" s="313" t="s">
        <v>97</v>
      </c>
      <c r="AI7" s="314" t="s">
        <v>74</v>
      </c>
      <c r="AJ7" s="317" t="s">
        <v>85</v>
      </c>
      <c r="AK7" s="307">
        <v>5</v>
      </c>
      <c r="AL7" s="308" t="s">
        <v>95</v>
      </c>
      <c r="AM7" s="309"/>
      <c r="AN7" s="316" t="s">
        <v>85</v>
      </c>
      <c r="AO7" s="307">
        <v>5</v>
      </c>
      <c r="AP7" s="308" t="s">
        <v>96</v>
      </c>
      <c r="AQ7" s="309" t="s">
        <v>113</v>
      </c>
      <c r="AR7" s="311" t="s">
        <v>85</v>
      </c>
      <c r="AS7" s="312">
        <v>5</v>
      </c>
      <c r="AT7" s="313" t="s">
        <v>97</v>
      </c>
      <c r="AU7" s="314"/>
      <c r="AV7" s="315" t="s">
        <v>85</v>
      </c>
    </row>
    <row r="8" spans="1:48">
      <c r="A8" s="307">
        <v>6</v>
      </c>
      <c r="B8" s="308" t="s">
        <v>91</v>
      </c>
      <c r="C8" s="309"/>
      <c r="D8" s="319" t="s">
        <v>85</v>
      </c>
      <c r="E8" s="312">
        <v>6</v>
      </c>
      <c r="F8" s="313" t="s">
        <v>92</v>
      </c>
      <c r="G8" s="314"/>
      <c r="H8" s="317" t="s">
        <v>85</v>
      </c>
      <c r="I8" s="307">
        <v>6</v>
      </c>
      <c r="J8" s="308" t="s">
        <v>93</v>
      </c>
      <c r="K8" s="309"/>
      <c r="L8" s="316">
        <v>40.714285714285715</v>
      </c>
      <c r="M8" s="307">
        <v>6</v>
      </c>
      <c r="N8" s="308" t="s">
        <v>94</v>
      </c>
      <c r="O8" s="309"/>
      <c r="P8" s="316" t="s">
        <v>85</v>
      </c>
      <c r="Q8" s="312">
        <v>6</v>
      </c>
      <c r="R8" s="313" t="s">
        <v>92</v>
      </c>
      <c r="S8" s="314"/>
      <c r="T8" s="315" t="s">
        <v>85</v>
      </c>
      <c r="U8" s="307">
        <v>6</v>
      </c>
      <c r="V8" s="308" t="s">
        <v>95</v>
      </c>
      <c r="W8" s="309"/>
      <c r="X8" s="316" t="s">
        <v>85</v>
      </c>
      <c r="Y8" s="307">
        <v>6</v>
      </c>
      <c r="Z8" s="308" t="s">
        <v>96</v>
      </c>
      <c r="AA8" s="309"/>
      <c r="AB8" s="311" t="s">
        <v>85</v>
      </c>
      <c r="AC8" s="307">
        <v>6</v>
      </c>
      <c r="AD8" s="308" t="s">
        <v>96</v>
      </c>
      <c r="AE8" s="309"/>
      <c r="AF8" s="316" t="s">
        <v>85</v>
      </c>
      <c r="AG8" s="307">
        <v>6</v>
      </c>
      <c r="AH8" s="308" t="s">
        <v>93</v>
      </c>
      <c r="AI8" s="309" t="s">
        <v>267</v>
      </c>
      <c r="AJ8" s="311">
        <v>14.571428571428571</v>
      </c>
      <c r="AK8" s="307">
        <v>6</v>
      </c>
      <c r="AL8" s="308" t="s">
        <v>91</v>
      </c>
      <c r="AM8" s="309"/>
      <c r="AN8" s="316" t="s">
        <v>85</v>
      </c>
      <c r="AO8" s="312">
        <v>6</v>
      </c>
      <c r="AP8" s="313" t="s">
        <v>92</v>
      </c>
      <c r="AQ8" s="314"/>
      <c r="AR8" s="317" t="s">
        <v>85</v>
      </c>
      <c r="AS8" s="307">
        <v>6</v>
      </c>
      <c r="AT8" s="308" t="s">
        <v>93</v>
      </c>
      <c r="AU8" s="309"/>
      <c r="AV8" s="316">
        <v>27.571428571428573</v>
      </c>
    </row>
    <row r="9" spans="1:48">
      <c r="A9" s="307">
        <v>7</v>
      </c>
      <c r="B9" s="308" t="s">
        <v>94</v>
      </c>
      <c r="C9" s="309"/>
      <c r="D9" s="319" t="s">
        <v>85</v>
      </c>
      <c r="E9" s="312">
        <v>7</v>
      </c>
      <c r="F9" s="313" t="s">
        <v>97</v>
      </c>
      <c r="G9" s="314"/>
      <c r="H9" s="317" t="s">
        <v>85</v>
      </c>
      <c r="I9" s="307">
        <v>7</v>
      </c>
      <c r="J9" s="308" t="s">
        <v>95</v>
      </c>
      <c r="K9" s="309"/>
      <c r="L9" s="316" t="s">
        <v>85</v>
      </c>
      <c r="M9" s="307">
        <v>7</v>
      </c>
      <c r="N9" s="308" t="s">
        <v>96</v>
      </c>
      <c r="O9" s="309"/>
      <c r="P9" s="316" t="s">
        <v>85</v>
      </c>
      <c r="Q9" s="312">
        <v>7</v>
      </c>
      <c r="R9" s="313" t="s">
        <v>97</v>
      </c>
      <c r="S9" s="314"/>
      <c r="T9" s="315" t="s">
        <v>85</v>
      </c>
      <c r="U9" s="307">
        <v>7</v>
      </c>
      <c r="V9" s="308" t="s">
        <v>91</v>
      </c>
      <c r="W9" s="309"/>
      <c r="X9" s="316" t="s">
        <v>85</v>
      </c>
      <c r="Y9" s="312">
        <v>7</v>
      </c>
      <c r="Z9" s="313" t="s">
        <v>92</v>
      </c>
      <c r="AA9" s="314"/>
      <c r="AB9" s="317" t="s">
        <v>85</v>
      </c>
      <c r="AC9" s="312">
        <v>7</v>
      </c>
      <c r="AD9" s="313" t="s">
        <v>92</v>
      </c>
      <c r="AE9" s="314"/>
      <c r="AF9" s="315" t="s">
        <v>85</v>
      </c>
      <c r="AG9" s="307">
        <v>7</v>
      </c>
      <c r="AH9" s="308" t="s">
        <v>95</v>
      </c>
      <c r="AI9" s="309"/>
      <c r="AJ9" s="311" t="s">
        <v>85</v>
      </c>
      <c r="AK9" s="307">
        <v>7</v>
      </c>
      <c r="AL9" s="308" t="s">
        <v>94</v>
      </c>
      <c r="AM9" s="309"/>
      <c r="AN9" s="316" t="s">
        <v>85</v>
      </c>
      <c r="AO9" s="312">
        <v>7</v>
      </c>
      <c r="AP9" s="313" t="s">
        <v>97</v>
      </c>
      <c r="AQ9" s="314"/>
      <c r="AR9" s="317" t="s">
        <v>85</v>
      </c>
      <c r="AS9" s="307">
        <v>7</v>
      </c>
      <c r="AT9" s="308" t="s">
        <v>95</v>
      </c>
      <c r="AU9" s="309"/>
      <c r="AV9" s="316" t="s">
        <v>85</v>
      </c>
    </row>
    <row r="10" spans="1:48">
      <c r="A10" s="307">
        <v>8</v>
      </c>
      <c r="B10" s="308" t="s">
        <v>96</v>
      </c>
      <c r="C10" s="309"/>
      <c r="D10" s="310" t="s">
        <v>85</v>
      </c>
      <c r="E10" s="307">
        <v>8</v>
      </c>
      <c r="F10" s="308" t="s">
        <v>93</v>
      </c>
      <c r="G10" s="309"/>
      <c r="H10" s="311">
        <v>36.714285714285715</v>
      </c>
      <c r="I10" s="307">
        <v>8</v>
      </c>
      <c r="J10" s="308" t="s">
        <v>91</v>
      </c>
      <c r="K10" s="309"/>
      <c r="L10" s="316" t="s">
        <v>85</v>
      </c>
      <c r="M10" s="312">
        <v>8</v>
      </c>
      <c r="N10" s="313" t="s">
        <v>92</v>
      </c>
      <c r="O10" s="314"/>
      <c r="P10" s="315" t="s">
        <v>85</v>
      </c>
      <c r="Q10" s="307">
        <v>8</v>
      </c>
      <c r="R10" s="308" t="s">
        <v>93</v>
      </c>
      <c r="S10" s="309"/>
      <c r="T10" s="316">
        <v>49.714285714285715</v>
      </c>
      <c r="U10" s="307">
        <v>8</v>
      </c>
      <c r="V10" s="308" t="s">
        <v>94</v>
      </c>
      <c r="W10" s="309"/>
      <c r="X10" s="316" t="s">
        <v>85</v>
      </c>
      <c r="Y10" s="312">
        <v>8</v>
      </c>
      <c r="Z10" s="313" t="s">
        <v>97</v>
      </c>
      <c r="AA10" s="314"/>
      <c r="AB10" s="317" t="s">
        <v>85</v>
      </c>
      <c r="AC10" s="312">
        <v>8</v>
      </c>
      <c r="AD10" s="313" t="s">
        <v>97</v>
      </c>
      <c r="AE10" s="314"/>
      <c r="AF10" s="315" t="s">
        <v>85</v>
      </c>
      <c r="AG10" s="307">
        <v>8</v>
      </c>
      <c r="AH10" s="308" t="s">
        <v>91</v>
      </c>
      <c r="AI10" s="309"/>
      <c r="AJ10" s="311" t="s">
        <v>85</v>
      </c>
      <c r="AK10" s="307">
        <v>8</v>
      </c>
      <c r="AL10" s="308" t="s">
        <v>96</v>
      </c>
      <c r="AM10" s="309"/>
      <c r="AN10" s="316" t="s">
        <v>85</v>
      </c>
      <c r="AO10" s="307">
        <v>8</v>
      </c>
      <c r="AP10" s="308" t="s">
        <v>93</v>
      </c>
      <c r="AQ10" s="309"/>
      <c r="AR10" s="311">
        <v>23.571428571428573</v>
      </c>
      <c r="AS10" s="307">
        <v>8</v>
      </c>
      <c r="AT10" s="308" t="s">
        <v>91</v>
      </c>
      <c r="AU10" s="309"/>
      <c r="AV10" s="316" t="s">
        <v>85</v>
      </c>
    </row>
    <row r="11" spans="1:48">
      <c r="A11" s="312">
        <v>9</v>
      </c>
      <c r="B11" s="313" t="s">
        <v>92</v>
      </c>
      <c r="C11" s="314"/>
      <c r="D11" s="662" t="s">
        <v>85</v>
      </c>
      <c r="E11" s="307">
        <v>9</v>
      </c>
      <c r="F11" s="308" t="s">
        <v>95</v>
      </c>
      <c r="G11" s="309"/>
      <c r="H11" s="311" t="s">
        <v>85</v>
      </c>
      <c r="I11" s="307">
        <v>9</v>
      </c>
      <c r="J11" s="308" t="s">
        <v>94</v>
      </c>
      <c r="K11" s="309"/>
      <c r="L11" s="316" t="s">
        <v>85</v>
      </c>
      <c r="M11" s="312">
        <v>9</v>
      </c>
      <c r="N11" s="313" t="s">
        <v>97</v>
      </c>
      <c r="O11" s="314"/>
      <c r="P11" s="315" t="s">
        <v>85</v>
      </c>
      <c r="Q11" s="307">
        <v>9</v>
      </c>
      <c r="R11" s="308" t="s">
        <v>95</v>
      </c>
      <c r="S11" s="309"/>
      <c r="T11" s="316" t="s">
        <v>85</v>
      </c>
      <c r="U11" s="307">
        <v>9</v>
      </c>
      <c r="V11" s="308" t="s">
        <v>96</v>
      </c>
      <c r="W11" s="309"/>
      <c r="X11" s="316" t="s">
        <v>85</v>
      </c>
      <c r="Y11" s="307">
        <v>9</v>
      </c>
      <c r="Z11" s="308" t="s">
        <v>93</v>
      </c>
      <c r="AA11" s="309"/>
      <c r="AB11" s="311">
        <v>6.5714285714285712</v>
      </c>
      <c r="AC11" s="307">
        <v>9</v>
      </c>
      <c r="AD11" s="308" t="s">
        <v>93</v>
      </c>
      <c r="AE11" s="309"/>
      <c r="AF11" s="316">
        <v>10.571428571428571</v>
      </c>
      <c r="AG11" s="307">
        <v>9</v>
      </c>
      <c r="AH11" s="308" t="s">
        <v>94</v>
      </c>
      <c r="AI11" s="309"/>
      <c r="AJ11" s="311" t="s">
        <v>85</v>
      </c>
      <c r="AK11" s="312">
        <v>9</v>
      </c>
      <c r="AL11" s="313" t="s">
        <v>92</v>
      </c>
      <c r="AM11" s="693"/>
      <c r="AN11" s="315" t="s">
        <v>85</v>
      </c>
      <c r="AO11" s="307">
        <v>9</v>
      </c>
      <c r="AP11" s="308" t="s">
        <v>95</v>
      </c>
      <c r="AQ11" s="309"/>
      <c r="AR11" s="311" t="s">
        <v>85</v>
      </c>
      <c r="AS11" s="307">
        <v>9</v>
      </c>
      <c r="AT11" s="308" t="s">
        <v>94</v>
      </c>
      <c r="AU11" s="309"/>
      <c r="AV11" s="316" t="s">
        <v>85</v>
      </c>
    </row>
    <row r="12" spans="1:48">
      <c r="A12" s="312">
        <v>10</v>
      </c>
      <c r="B12" s="313" t="s">
        <v>97</v>
      </c>
      <c r="C12" s="314"/>
      <c r="D12" s="662" t="s">
        <v>85</v>
      </c>
      <c r="E12" s="307">
        <v>10</v>
      </c>
      <c r="F12" s="308" t="s">
        <v>91</v>
      </c>
      <c r="G12" s="309"/>
      <c r="H12" s="311" t="s">
        <v>85</v>
      </c>
      <c r="I12" s="307">
        <v>10</v>
      </c>
      <c r="J12" s="308" t="s">
        <v>96</v>
      </c>
      <c r="K12" s="309"/>
      <c r="L12" s="316" t="s">
        <v>85</v>
      </c>
      <c r="M12" s="307">
        <v>10</v>
      </c>
      <c r="N12" s="308" t="s">
        <v>93</v>
      </c>
      <c r="O12" s="309"/>
      <c r="P12" s="316">
        <v>45.714285714285715</v>
      </c>
      <c r="Q12" s="307">
        <v>10</v>
      </c>
      <c r="R12" s="308" t="s">
        <v>91</v>
      </c>
      <c r="S12" s="309"/>
      <c r="T12" s="316" t="s">
        <v>85</v>
      </c>
      <c r="U12" s="312">
        <v>10</v>
      </c>
      <c r="V12" s="313" t="s">
        <v>92</v>
      </c>
      <c r="W12" s="314"/>
      <c r="X12" s="315" t="s">
        <v>85</v>
      </c>
      <c r="Y12" s="307">
        <v>10</v>
      </c>
      <c r="Z12" s="308" t="s">
        <v>95</v>
      </c>
      <c r="AA12" s="309"/>
      <c r="AB12" s="311" t="s">
        <v>85</v>
      </c>
      <c r="AC12" s="307">
        <v>10</v>
      </c>
      <c r="AD12" s="308" t="s">
        <v>95</v>
      </c>
      <c r="AE12" s="309"/>
      <c r="AF12" s="316" t="s">
        <v>85</v>
      </c>
      <c r="AG12" s="307">
        <v>10</v>
      </c>
      <c r="AH12" s="308" t="s">
        <v>96</v>
      </c>
      <c r="AI12" s="309"/>
      <c r="AJ12" s="311" t="s">
        <v>85</v>
      </c>
      <c r="AK12" s="312">
        <v>10</v>
      </c>
      <c r="AL12" s="313" t="s">
        <v>97</v>
      </c>
      <c r="AM12" s="314"/>
      <c r="AN12" s="315" t="s">
        <v>85</v>
      </c>
      <c r="AO12" s="307">
        <v>10</v>
      </c>
      <c r="AP12" s="308" t="s">
        <v>91</v>
      </c>
      <c r="AQ12" s="309"/>
      <c r="AR12" s="311" t="s">
        <v>85</v>
      </c>
      <c r="AS12" s="307">
        <v>10</v>
      </c>
      <c r="AT12" s="308" t="s">
        <v>96</v>
      </c>
      <c r="AU12" s="309"/>
      <c r="AV12" s="316" t="s">
        <v>85</v>
      </c>
    </row>
    <row r="13" spans="1:48">
      <c r="A13" s="307">
        <v>11</v>
      </c>
      <c r="B13" s="308" t="s">
        <v>93</v>
      </c>
      <c r="C13" s="309"/>
      <c r="D13" s="310">
        <v>32.714285714285715</v>
      </c>
      <c r="E13" s="307">
        <v>11</v>
      </c>
      <c r="F13" s="308" t="s">
        <v>94</v>
      </c>
      <c r="G13" s="309"/>
      <c r="H13" s="311" t="s">
        <v>85</v>
      </c>
      <c r="I13" s="312">
        <v>11</v>
      </c>
      <c r="J13" s="313" t="s">
        <v>92</v>
      </c>
      <c r="K13" s="314"/>
      <c r="L13" s="315" t="s">
        <v>85</v>
      </c>
      <c r="M13" s="307">
        <v>11</v>
      </c>
      <c r="N13" s="308" t="s">
        <v>95</v>
      </c>
      <c r="O13" s="309"/>
      <c r="P13" s="316" t="s">
        <v>85</v>
      </c>
      <c r="Q13" s="307">
        <v>11</v>
      </c>
      <c r="R13" s="308" t="s">
        <v>94</v>
      </c>
      <c r="S13" s="309"/>
      <c r="T13" s="316" t="s">
        <v>85</v>
      </c>
      <c r="U13" s="312">
        <v>11</v>
      </c>
      <c r="V13" s="313" t="s">
        <v>97</v>
      </c>
      <c r="W13" s="314"/>
      <c r="X13" s="315" t="s">
        <v>85</v>
      </c>
      <c r="Y13" s="307">
        <v>11</v>
      </c>
      <c r="Z13" s="308" t="s">
        <v>91</v>
      </c>
      <c r="AA13" s="309"/>
      <c r="AB13" s="311" t="s">
        <v>85</v>
      </c>
      <c r="AC13" s="307">
        <v>11</v>
      </c>
      <c r="AD13" s="308" t="s">
        <v>91</v>
      </c>
      <c r="AE13" s="309"/>
      <c r="AF13" s="316" t="s">
        <v>85</v>
      </c>
      <c r="AG13" s="312">
        <v>11</v>
      </c>
      <c r="AH13" s="313" t="s">
        <v>92</v>
      </c>
      <c r="AI13" s="314"/>
      <c r="AJ13" s="317" t="s">
        <v>85</v>
      </c>
      <c r="AK13" s="307">
        <v>11</v>
      </c>
      <c r="AL13" s="308" t="s">
        <v>93</v>
      </c>
      <c r="AM13" s="309"/>
      <c r="AN13" s="316">
        <v>19.571428571428573</v>
      </c>
      <c r="AO13" s="307">
        <v>11</v>
      </c>
      <c r="AP13" s="308" t="s">
        <v>94</v>
      </c>
      <c r="AQ13" s="309"/>
      <c r="AR13" s="311" t="s">
        <v>85</v>
      </c>
      <c r="AS13" s="312">
        <v>11</v>
      </c>
      <c r="AT13" s="313" t="s">
        <v>92</v>
      </c>
      <c r="AU13" s="314"/>
      <c r="AV13" s="315" t="s">
        <v>85</v>
      </c>
    </row>
    <row r="14" spans="1:48">
      <c r="A14" s="307">
        <v>12</v>
      </c>
      <c r="B14" s="308" t="s">
        <v>95</v>
      </c>
      <c r="C14" s="309"/>
      <c r="D14" s="319" t="s">
        <v>85</v>
      </c>
      <c r="E14" s="307">
        <v>12</v>
      </c>
      <c r="F14" s="308" t="s">
        <v>96</v>
      </c>
      <c r="G14" s="309"/>
      <c r="H14" s="311" t="s">
        <v>85</v>
      </c>
      <c r="I14" s="312">
        <v>12</v>
      </c>
      <c r="J14" s="313" t="s">
        <v>97</v>
      </c>
      <c r="K14" s="314"/>
      <c r="L14" s="315" t="s">
        <v>85</v>
      </c>
      <c r="M14" s="307">
        <v>12</v>
      </c>
      <c r="N14" s="308" t="s">
        <v>91</v>
      </c>
      <c r="O14" s="309"/>
      <c r="P14" s="316" t="s">
        <v>85</v>
      </c>
      <c r="Q14" s="307">
        <v>12</v>
      </c>
      <c r="R14" s="308" t="s">
        <v>96</v>
      </c>
      <c r="S14" s="309"/>
      <c r="T14" s="316" t="s">
        <v>85</v>
      </c>
      <c r="U14" s="307">
        <v>12</v>
      </c>
      <c r="V14" s="308" t="s">
        <v>93</v>
      </c>
      <c r="W14" s="309"/>
      <c r="X14" s="316">
        <v>2.5714285714285716</v>
      </c>
      <c r="Y14" s="307">
        <v>12</v>
      </c>
      <c r="Z14" s="308" t="s">
        <v>94</v>
      </c>
      <c r="AA14" s="309"/>
      <c r="AB14" s="311" t="s">
        <v>85</v>
      </c>
      <c r="AC14" s="307">
        <v>12</v>
      </c>
      <c r="AD14" s="308" t="s">
        <v>94</v>
      </c>
      <c r="AE14" s="309"/>
      <c r="AF14" s="316" t="s">
        <v>85</v>
      </c>
      <c r="AG14" s="312">
        <v>12</v>
      </c>
      <c r="AH14" s="313" t="s">
        <v>97</v>
      </c>
      <c r="AI14" s="314"/>
      <c r="AJ14" s="317" t="s">
        <v>85</v>
      </c>
      <c r="AK14" s="307">
        <v>12</v>
      </c>
      <c r="AL14" s="308" t="s">
        <v>95</v>
      </c>
      <c r="AM14" s="309"/>
      <c r="AN14" s="316" t="s">
        <v>85</v>
      </c>
      <c r="AO14" s="307">
        <v>12</v>
      </c>
      <c r="AP14" s="308" t="s">
        <v>96</v>
      </c>
      <c r="AQ14" s="309"/>
      <c r="AR14" s="311" t="s">
        <v>85</v>
      </c>
      <c r="AS14" s="312">
        <v>12</v>
      </c>
      <c r="AT14" s="313" t="s">
        <v>97</v>
      </c>
      <c r="AU14" s="314"/>
      <c r="AV14" s="315" t="s">
        <v>85</v>
      </c>
    </row>
    <row r="15" spans="1:48">
      <c r="A15" s="307">
        <v>13</v>
      </c>
      <c r="B15" s="308" t="s">
        <v>91</v>
      </c>
      <c r="C15" s="309"/>
      <c r="D15" s="319" t="s">
        <v>85</v>
      </c>
      <c r="E15" s="312">
        <v>13</v>
      </c>
      <c r="F15" s="313" t="s">
        <v>92</v>
      </c>
      <c r="G15" s="314"/>
      <c r="H15" s="317" t="s">
        <v>85</v>
      </c>
      <c r="I15" s="307">
        <v>13</v>
      </c>
      <c r="J15" s="308" t="s">
        <v>93</v>
      </c>
      <c r="K15" s="309"/>
      <c r="L15" s="316">
        <v>41.714285714285715</v>
      </c>
      <c r="M15" s="307">
        <v>13</v>
      </c>
      <c r="N15" s="308" t="s">
        <v>94</v>
      </c>
      <c r="O15" s="309"/>
      <c r="P15" s="316" t="s">
        <v>85</v>
      </c>
      <c r="Q15" s="312">
        <v>13</v>
      </c>
      <c r="R15" s="313" t="s">
        <v>92</v>
      </c>
      <c r="S15" s="314"/>
      <c r="T15" s="315" t="s">
        <v>85</v>
      </c>
      <c r="U15" s="307">
        <v>13</v>
      </c>
      <c r="V15" s="308" t="s">
        <v>95</v>
      </c>
      <c r="W15" s="309"/>
      <c r="X15" s="316" t="s">
        <v>85</v>
      </c>
      <c r="Y15" s="307">
        <v>13</v>
      </c>
      <c r="Z15" s="308" t="s">
        <v>96</v>
      </c>
      <c r="AA15" s="309"/>
      <c r="AB15" s="311" t="s">
        <v>85</v>
      </c>
      <c r="AC15" s="307">
        <v>13</v>
      </c>
      <c r="AD15" s="308" t="s">
        <v>96</v>
      </c>
      <c r="AE15" s="309"/>
      <c r="AF15" s="316" t="s">
        <v>85</v>
      </c>
      <c r="AG15" s="307">
        <v>13</v>
      </c>
      <c r="AH15" s="308" t="s">
        <v>93</v>
      </c>
      <c r="AI15" s="309"/>
      <c r="AJ15" s="311">
        <v>15.571428571428571</v>
      </c>
      <c r="AK15" s="307">
        <v>13</v>
      </c>
      <c r="AL15" s="308" t="s">
        <v>91</v>
      </c>
      <c r="AM15" s="309"/>
      <c r="AN15" s="316" t="s">
        <v>85</v>
      </c>
      <c r="AO15" s="312">
        <v>13</v>
      </c>
      <c r="AP15" s="313" t="s">
        <v>92</v>
      </c>
      <c r="AQ15" s="314"/>
      <c r="AR15" s="317" t="s">
        <v>85</v>
      </c>
      <c r="AS15" s="307">
        <v>13</v>
      </c>
      <c r="AT15" s="308" t="s">
        <v>93</v>
      </c>
      <c r="AU15" s="309"/>
      <c r="AV15" s="316">
        <v>28.571428571428573</v>
      </c>
    </row>
    <row r="16" spans="1:48">
      <c r="A16" s="307">
        <v>14</v>
      </c>
      <c r="B16" s="308" t="s">
        <v>94</v>
      </c>
      <c r="C16" s="309"/>
      <c r="D16" s="319" t="s">
        <v>85</v>
      </c>
      <c r="E16" s="312">
        <v>14</v>
      </c>
      <c r="F16" s="313" t="s">
        <v>97</v>
      </c>
      <c r="G16" s="314"/>
      <c r="H16" s="317" t="s">
        <v>85</v>
      </c>
      <c r="I16" s="307">
        <v>14</v>
      </c>
      <c r="J16" s="308" t="s">
        <v>95</v>
      </c>
      <c r="K16" s="309"/>
      <c r="L16" s="316" t="s">
        <v>85</v>
      </c>
      <c r="M16" s="307">
        <v>14</v>
      </c>
      <c r="N16" s="308" t="s">
        <v>96</v>
      </c>
      <c r="O16" s="309"/>
      <c r="P16" s="316" t="s">
        <v>85</v>
      </c>
      <c r="Q16" s="312">
        <v>14</v>
      </c>
      <c r="R16" s="313" t="s">
        <v>97</v>
      </c>
      <c r="S16" s="314"/>
      <c r="T16" s="315" t="s">
        <v>85</v>
      </c>
      <c r="U16" s="307">
        <v>14</v>
      </c>
      <c r="V16" s="308" t="s">
        <v>91</v>
      </c>
      <c r="W16" s="309"/>
      <c r="X16" s="316" t="s">
        <v>85</v>
      </c>
      <c r="Y16" s="312">
        <v>14</v>
      </c>
      <c r="Z16" s="313" t="s">
        <v>92</v>
      </c>
      <c r="AA16" s="314"/>
      <c r="AB16" s="317" t="s">
        <v>85</v>
      </c>
      <c r="AC16" s="312">
        <v>14</v>
      </c>
      <c r="AD16" s="313" t="s">
        <v>92</v>
      </c>
      <c r="AE16" s="314"/>
      <c r="AF16" s="315" t="s">
        <v>85</v>
      </c>
      <c r="AG16" s="307">
        <v>14</v>
      </c>
      <c r="AH16" s="308" t="s">
        <v>95</v>
      </c>
      <c r="AI16" s="309"/>
      <c r="AJ16" s="311" t="s">
        <v>85</v>
      </c>
      <c r="AK16" s="307">
        <v>14</v>
      </c>
      <c r="AL16" s="308" t="s">
        <v>94</v>
      </c>
      <c r="AM16" s="694" t="s">
        <v>268</v>
      </c>
      <c r="AN16" s="316" t="s">
        <v>85</v>
      </c>
      <c r="AO16" s="312">
        <v>14</v>
      </c>
      <c r="AP16" s="313" t="s">
        <v>97</v>
      </c>
      <c r="AQ16" s="314"/>
      <c r="AR16" s="317" t="s">
        <v>85</v>
      </c>
      <c r="AS16" s="307">
        <v>14</v>
      </c>
      <c r="AT16" s="308" t="s">
        <v>95</v>
      </c>
      <c r="AU16" s="309"/>
      <c r="AV16" s="316" t="s">
        <v>85</v>
      </c>
    </row>
    <row r="17" spans="1:49">
      <c r="A17" s="307">
        <v>15</v>
      </c>
      <c r="B17" s="308" t="s">
        <v>96</v>
      </c>
      <c r="C17" s="309"/>
      <c r="D17" s="310" t="s">
        <v>85</v>
      </c>
      <c r="E17" s="307">
        <v>15</v>
      </c>
      <c r="F17" s="308" t="s">
        <v>93</v>
      </c>
      <c r="G17" s="309"/>
      <c r="H17" s="311">
        <v>37.714285714285715</v>
      </c>
      <c r="I17" s="307">
        <v>15</v>
      </c>
      <c r="J17" s="308" t="s">
        <v>91</v>
      </c>
      <c r="K17" s="309"/>
      <c r="L17" s="316" t="s">
        <v>85</v>
      </c>
      <c r="M17" s="312">
        <v>15</v>
      </c>
      <c r="N17" s="313" t="s">
        <v>92</v>
      </c>
      <c r="O17" s="314"/>
      <c r="P17" s="315" t="s">
        <v>85</v>
      </c>
      <c r="Q17" s="307">
        <v>15</v>
      </c>
      <c r="R17" s="308" t="s">
        <v>93</v>
      </c>
      <c r="S17" s="309"/>
      <c r="T17" s="316">
        <v>50.714285714285715</v>
      </c>
      <c r="U17" s="307">
        <v>15</v>
      </c>
      <c r="V17" s="308" t="s">
        <v>94</v>
      </c>
      <c r="W17" s="309"/>
      <c r="X17" s="316" t="s">
        <v>85</v>
      </c>
      <c r="Y17" s="312">
        <v>15</v>
      </c>
      <c r="Z17" s="313" t="s">
        <v>97</v>
      </c>
      <c r="AA17" s="314"/>
      <c r="AB17" s="317" t="s">
        <v>85</v>
      </c>
      <c r="AC17" s="312">
        <v>15</v>
      </c>
      <c r="AD17" s="313" t="s">
        <v>97</v>
      </c>
      <c r="AE17" s="314"/>
      <c r="AF17" s="315" t="s">
        <v>85</v>
      </c>
      <c r="AG17" s="307">
        <v>15</v>
      </c>
      <c r="AH17" s="308" t="s">
        <v>91</v>
      </c>
      <c r="AI17" s="309"/>
      <c r="AJ17" s="311" t="s">
        <v>85</v>
      </c>
      <c r="AK17" s="307">
        <v>15</v>
      </c>
      <c r="AL17" s="308" t="s">
        <v>96</v>
      </c>
      <c r="AM17" s="309"/>
      <c r="AN17" s="316" t="s">
        <v>85</v>
      </c>
      <c r="AO17" s="307">
        <v>15</v>
      </c>
      <c r="AP17" s="308" t="s">
        <v>93</v>
      </c>
      <c r="AQ17" s="309"/>
      <c r="AR17" s="311">
        <v>24.571428571428573</v>
      </c>
      <c r="AS17" s="307">
        <v>15</v>
      </c>
      <c r="AT17" s="308" t="s">
        <v>91</v>
      </c>
      <c r="AU17" s="309"/>
      <c r="AV17" s="316" t="s">
        <v>85</v>
      </c>
    </row>
    <row r="18" spans="1:49">
      <c r="A18" s="312">
        <v>16</v>
      </c>
      <c r="B18" s="313" t="s">
        <v>92</v>
      </c>
      <c r="C18" s="314"/>
      <c r="D18" s="662" t="s">
        <v>85</v>
      </c>
      <c r="E18" s="307">
        <v>16</v>
      </c>
      <c r="F18" s="308" t="s">
        <v>95</v>
      </c>
      <c r="G18" s="309"/>
      <c r="H18" s="311" t="s">
        <v>85</v>
      </c>
      <c r="I18" s="307">
        <v>16</v>
      </c>
      <c r="J18" s="308" t="s">
        <v>94</v>
      </c>
      <c r="K18" s="309"/>
      <c r="L18" s="316" t="s">
        <v>85</v>
      </c>
      <c r="M18" s="312">
        <v>16</v>
      </c>
      <c r="N18" s="313" t="s">
        <v>97</v>
      </c>
      <c r="O18" s="314"/>
      <c r="P18" s="315" t="s">
        <v>85</v>
      </c>
      <c r="Q18" s="307">
        <v>16</v>
      </c>
      <c r="R18" s="308" t="s">
        <v>95</v>
      </c>
      <c r="S18" s="309"/>
      <c r="T18" s="316" t="s">
        <v>85</v>
      </c>
      <c r="U18" s="307">
        <v>16</v>
      </c>
      <c r="V18" s="308" t="s">
        <v>96</v>
      </c>
      <c r="W18" s="309"/>
      <c r="X18" s="316" t="s">
        <v>85</v>
      </c>
      <c r="Y18" s="307">
        <v>16</v>
      </c>
      <c r="Z18" s="308" t="s">
        <v>93</v>
      </c>
      <c r="AA18" s="309"/>
      <c r="AB18" s="311">
        <v>7.5714285714285712</v>
      </c>
      <c r="AC18" s="307">
        <v>16</v>
      </c>
      <c r="AD18" s="308" t="s">
        <v>93</v>
      </c>
      <c r="AE18" s="309"/>
      <c r="AF18" s="316">
        <v>11.571428571428571</v>
      </c>
      <c r="AG18" s="307">
        <v>16</v>
      </c>
      <c r="AH18" s="308" t="s">
        <v>94</v>
      </c>
      <c r="AI18" s="309"/>
      <c r="AJ18" s="311" t="s">
        <v>85</v>
      </c>
      <c r="AK18" s="312">
        <v>16</v>
      </c>
      <c r="AL18" s="313" t="s">
        <v>92</v>
      </c>
      <c r="AM18" s="314"/>
      <c r="AN18" s="315" t="s">
        <v>85</v>
      </c>
      <c r="AO18" s="307">
        <v>16</v>
      </c>
      <c r="AP18" s="308" t="s">
        <v>95</v>
      </c>
      <c r="AQ18" s="309"/>
      <c r="AR18" s="311" t="s">
        <v>85</v>
      </c>
      <c r="AS18" s="307">
        <v>16</v>
      </c>
      <c r="AT18" s="308" t="s">
        <v>94</v>
      </c>
      <c r="AU18" s="309"/>
      <c r="AV18" s="316" t="s">
        <v>85</v>
      </c>
    </row>
    <row r="19" spans="1:49">
      <c r="A19" s="312">
        <v>17</v>
      </c>
      <c r="B19" s="313" t="s">
        <v>97</v>
      </c>
      <c r="C19" s="314"/>
      <c r="D19" s="662" t="s">
        <v>85</v>
      </c>
      <c r="E19" s="307">
        <v>17</v>
      </c>
      <c r="F19" s="308" t="s">
        <v>91</v>
      </c>
      <c r="G19" s="309"/>
      <c r="H19" s="311" t="s">
        <v>85</v>
      </c>
      <c r="I19" s="307">
        <v>17</v>
      </c>
      <c r="J19" s="308" t="s">
        <v>96</v>
      </c>
      <c r="K19" s="309"/>
      <c r="L19" s="316" t="s">
        <v>85</v>
      </c>
      <c r="M19" s="307">
        <v>17</v>
      </c>
      <c r="N19" s="308" t="s">
        <v>93</v>
      </c>
      <c r="O19" s="309"/>
      <c r="P19" s="316">
        <v>46.714285714285715</v>
      </c>
      <c r="Q19" s="307">
        <v>17</v>
      </c>
      <c r="R19" s="308" t="s">
        <v>91</v>
      </c>
      <c r="S19" s="309"/>
      <c r="T19" s="316" t="s">
        <v>85</v>
      </c>
      <c r="U19" s="312">
        <v>17</v>
      </c>
      <c r="V19" s="313" t="s">
        <v>92</v>
      </c>
      <c r="W19" s="314"/>
      <c r="X19" s="315" t="s">
        <v>85</v>
      </c>
      <c r="Y19" s="307">
        <v>17</v>
      </c>
      <c r="Z19" s="308" t="s">
        <v>95</v>
      </c>
      <c r="AA19" s="309"/>
      <c r="AB19" s="311" t="s">
        <v>85</v>
      </c>
      <c r="AC19" s="307">
        <v>17</v>
      </c>
      <c r="AD19" s="308" t="s">
        <v>95</v>
      </c>
      <c r="AE19" s="309"/>
      <c r="AF19" s="316" t="s">
        <v>85</v>
      </c>
      <c r="AG19" s="307">
        <v>17</v>
      </c>
      <c r="AH19" s="308" t="s">
        <v>96</v>
      </c>
      <c r="AI19" s="309"/>
      <c r="AJ19" s="311" t="s">
        <v>85</v>
      </c>
      <c r="AK19" s="312">
        <v>17</v>
      </c>
      <c r="AL19" s="313" t="s">
        <v>97</v>
      </c>
      <c r="AM19" s="314"/>
      <c r="AN19" s="315" t="s">
        <v>85</v>
      </c>
      <c r="AO19" s="307">
        <v>17</v>
      </c>
      <c r="AP19" s="308" t="s">
        <v>91</v>
      </c>
      <c r="AQ19" s="309"/>
      <c r="AR19" s="311" t="s">
        <v>85</v>
      </c>
      <c r="AS19" s="307">
        <v>17</v>
      </c>
      <c r="AT19" s="308" t="s">
        <v>96</v>
      </c>
      <c r="AU19" s="309"/>
      <c r="AV19" s="316" t="s">
        <v>85</v>
      </c>
    </row>
    <row r="20" spans="1:49">
      <c r="A20" s="307">
        <v>18</v>
      </c>
      <c r="B20" s="308" t="s">
        <v>93</v>
      </c>
      <c r="C20" s="309"/>
      <c r="D20" s="310">
        <v>33.714285714285715</v>
      </c>
      <c r="E20" s="307">
        <v>18</v>
      </c>
      <c r="F20" s="308" t="s">
        <v>94</v>
      </c>
      <c r="G20" s="309"/>
      <c r="H20" s="311" t="s">
        <v>85</v>
      </c>
      <c r="I20" s="312">
        <v>18</v>
      </c>
      <c r="J20" s="313" t="s">
        <v>92</v>
      </c>
      <c r="K20" s="314"/>
      <c r="L20" s="315" t="s">
        <v>85</v>
      </c>
      <c r="M20" s="307">
        <v>18</v>
      </c>
      <c r="N20" s="308" t="s">
        <v>95</v>
      </c>
      <c r="O20" s="309"/>
      <c r="P20" s="316" t="s">
        <v>85</v>
      </c>
      <c r="Q20" s="307">
        <v>18</v>
      </c>
      <c r="R20" s="308" t="s">
        <v>94</v>
      </c>
      <c r="S20" s="309"/>
      <c r="T20" s="316" t="s">
        <v>85</v>
      </c>
      <c r="U20" s="312">
        <v>18</v>
      </c>
      <c r="V20" s="313" t="s">
        <v>97</v>
      </c>
      <c r="W20" s="314"/>
      <c r="X20" s="315" t="s">
        <v>85</v>
      </c>
      <c r="Y20" s="307">
        <v>18</v>
      </c>
      <c r="Z20" s="308" t="s">
        <v>91</v>
      </c>
      <c r="AA20" s="309"/>
      <c r="AB20" s="311" t="s">
        <v>85</v>
      </c>
      <c r="AC20" s="307">
        <v>18</v>
      </c>
      <c r="AD20" s="308" t="s">
        <v>91</v>
      </c>
      <c r="AE20" s="309"/>
      <c r="AF20" s="316" t="s">
        <v>85</v>
      </c>
      <c r="AG20" s="312">
        <v>18</v>
      </c>
      <c r="AH20" s="313" t="s">
        <v>92</v>
      </c>
      <c r="AI20" s="314"/>
      <c r="AJ20" s="317" t="s">
        <v>85</v>
      </c>
      <c r="AK20" s="307">
        <v>18</v>
      </c>
      <c r="AL20" s="308" t="s">
        <v>93</v>
      </c>
      <c r="AM20" s="663"/>
      <c r="AN20" s="695">
        <v>20.571428571428573</v>
      </c>
      <c r="AO20" s="307">
        <v>18</v>
      </c>
      <c r="AP20" s="308" t="s">
        <v>94</v>
      </c>
      <c r="AQ20" s="309"/>
      <c r="AR20" s="311" t="s">
        <v>85</v>
      </c>
      <c r="AS20" s="312">
        <v>18</v>
      </c>
      <c r="AT20" s="326" t="s">
        <v>92</v>
      </c>
      <c r="AU20" s="314"/>
      <c r="AV20" s="315" t="s">
        <v>85</v>
      </c>
    </row>
    <row r="21" spans="1:49">
      <c r="A21" s="307">
        <v>19</v>
      </c>
      <c r="B21" s="308" t="s">
        <v>95</v>
      </c>
      <c r="C21" s="309"/>
      <c r="D21" s="319" t="s">
        <v>85</v>
      </c>
      <c r="E21" s="307">
        <v>19</v>
      </c>
      <c r="F21" s="308" t="s">
        <v>96</v>
      </c>
      <c r="G21" s="309"/>
      <c r="H21" s="311" t="s">
        <v>85</v>
      </c>
      <c r="I21" s="312">
        <v>19</v>
      </c>
      <c r="J21" s="313" t="s">
        <v>97</v>
      </c>
      <c r="K21" s="314"/>
      <c r="L21" s="315" t="s">
        <v>85</v>
      </c>
      <c r="M21" s="307">
        <v>19</v>
      </c>
      <c r="N21" s="308" t="s">
        <v>91</v>
      </c>
      <c r="O21" s="309"/>
      <c r="P21" s="316" t="s">
        <v>85</v>
      </c>
      <c r="Q21" s="307">
        <v>19</v>
      </c>
      <c r="R21" s="308" t="s">
        <v>96</v>
      </c>
      <c r="S21" s="309"/>
      <c r="T21" s="316" t="s">
        <v>85</v>
      </c>
      <c r="U21" s="307">
        <v>19</v>
      </c>
      <c r="V21" s="308" t="s">
        <v>93</v>
      </c>
      <c r="W21" s="309"/>
      <c r="X21" s="316">
        <v>3.5714285714285716</v>
      </c>
      <c r="Y21" s="307">
        <v>19</v>
      </c>
      <c r="Z21" s="308" t="s">
        <v>94</v>
      </c>
      <c r="AA21" s="309"/>
      <c r="AB21" s="311" t="s">
        <v>85</v>
      </c>
      <c r="AC21" s="307">
        <v>19</v>
      </c>
      <c r="AD21" s="308" t="s">
        <v>94</v>
      </c>
      <c r="AE21" s="309"/>
      <c r="AF21" s="316" t="s">
        <v>85</v>
      </c>
      <c r="AG21" s="312">
        <v>19</v>
      </c>
      <c r="AH21" s="313" t="s">
        <v>97</v>
      </c>
      <c r="AI21" s="314"/>
      <c r="AJ21" s="317" t="s">
        <v>85</v>
      </c>
      <c r="AK21" s="307">
        <v>19</v>
      </c>
      <c r="AL21" s="308" t="s">
        <v>95</v>
      </c>
      <c r="AM21" s="309"/>
      <c r="AN21" s="316" t="s">
        <v>85</v>
      </c>
      <c r="AO21" s="307">
        <v>19</v>
      </c>
      <c r="AP21" s="308" t="s">
        <v>96</v>
      </c>
      <c r="AQ21" s="309"/>
      <c r="AR21" s="311" t="s">
        <v>85</v>
      </c>
      <c r="AS21" s="312">
        <v>19</v>
      </c>
      <c r="AT21" s="313" t="s">
        <v>97</v>
      </c>
      <c r="AU21" s="314"/>
      <c r="AV21" s="315" t="s">
        <v>85</v>
      </c>
    </row>
    <row r="22" spans="1:49">
      <c r="A22" s="307">
        <v>20</v>
      </c>
      <c r="B22" s="308" t="s">
        <v>91</v>
      </c>
      <c r="C22" s="309"/>
      <c r="D22" s="319" t="s">
        <v>85</v>
      </c>
      <c r="E22" s="312">
        <v>20</v>
      </c>
      <c r="F22" s="313" t="s">
        <v>92</v>
      </c>
      <c r="G22" s="314"/>
      <c r="H22" s="317" t="s">
        <v>85</v>
      </c>
      <c r="I22" s="307">
        <v>20</v>
      </c>
      <c r="J22" s="308" t="s">
        <v>93</v>
      </c>
      <c r="K22" s="309"/>
      <c r="L22" s="316">
        <v>42.714285714285715</v>
      </c>
      <c r="M22" s="307">
        <v>20</v>
      </c>
      <c r="N22" s="308" t="s">
        <v>94</v>
      </c>
      <c r="O22" s="309"/>
      <c r="P22" s="316" t="s">
        <v>85</v>
      </c>
      <c r="Q22" s="312">
        <v>20</v>
      </c>
      <c r="R22" s="313" t="s">
        <v>92</v>
      </c>
      <c r="S22" s="314"/>
      <c r="T22" s="315" t="s">
        <v>85</v>
      </c>
      <c r="U22" s="307">
        <v>20</v>
      </c>
      <c r="V22" s="308" t="s">
        <v>95</v>
      </c>
      <c r="W22" s="309"/>
      <c r="X22" s="316" t="s">
        <v>85</v>
      </c>
      <c r="Y22" s="307">
        <v>20</v>
      </c>
      <c r="Z22" s="308" t="s">
        <v>96</v>
      </c>
      <c r="AA22" s="309"/>
      <c r="AB22" s="311" t="s">
        <v>85</v>
      </c>
      <c r="AC22" s="307">
        <v>20</v>
      </c>
      <c r="AD22" s="308" t="s">
        <v>96</v>
      </c>
      <c r="AE22" s="309"/>
      <c r="AF22" s="316" t="s">
        <v>85</v>
      </c>
      <c r="AG22" s="307">
        <v>20</v>
      </c>
      <c r="AH22" s="308" t="s">
        <v>93</v>
      </c>
      <c r="AI22" s="309"/>
      <c r="AJ22" s="311">
        <v>16.571428571428573</v>
      </c>
      <c r="AK22" s="307">
        <v>20</v>
      </c>
      <c r="AL22" s="308" t="s">
        <v>91</v>
      </c>
      <c r="AM22" s="309"/>
      <c r="AN22" s="316" t="s">
        <v>85</v>
      </c>
      <c r="AO22" s="312">
        <v>20</v>
      </c>
      <c r="AP22" s="326" t="s">
        <v>92</v>
      </c>
      <c r="AQ22" s="314"/>
      <c r="AR22" s="317" t="s">
        <v>85</v>
      </c>
      <c r="AS22" s="307">
        <v>20</v>
      </c>
      <c r="AT22" s="308" t="s">
        <v>93</v>
      </c>
      <c r="AU22" s="309"/>
      <c r="AV22" s="316">
        <v>29.571428571428573</v>
      </c>
    </row>
    <row r="23" spans="1:49">
      <c r="A23" s="307">
        <v>21</v>
      </c>
      <c r="B23" s="308" t="s">
        <v>94</v>
      </c>
      <c r="C23" s="309"/>
      <c r="D23" s="319" t="s">
        <v>85</v>
      </c>
      <c r="E23" s="312">
        <v>21</v>
      </c>
      <c r="F23" s="313" t="s">
        <v>97</v>
      </c>
      <c r="G23" s="314"/>
      <c r="H23" s="317" t="s">
        <v>85</v>
      </c>
      <c r="I23" s="307">
        <v>21</v>
      </c>
      <c r="J23" s="308" t="s">
        <v>95</v>
      </c>
      <c r="K23" s="309"/>
      <c r="L23" s="316" t="s">
        <v>85</v>
      </c>
      <c r="M23" s="307">
        <v>21</v>
      </c>
      <c r="N23" s="308" t="s">
        <v>96</v>
      </c>
      <c r="O23" s="309"/>
      <c r="P23" s="316" t="s">
        <v>85</v>
      </c>
      <c r="Q23" s="312">
        <v>21</v>
      </c>
      <c r="R23" s="313" t="s">
        <v>97</v>
      </c>
      <c r="S23" s="314"/>
      <c r="T23" s="315" t="s">
        <v>85</v>
      </c>
      <c r="U23" s="307">
        <v>21</v>
      </c>
      <c r="V23" s="308" t="s">
        <v>91</v>
      </c>
      <c r="W23" s="309"/>
      <c r="X23" s="316" t="s">
        <v>85</v>
      </c>
      <c r="Y23" s="312">
        <v>21</v>
      </c>
      <c r="Z23" s="313" t="s">
        <v>92</v>
      </c>
      <c r="AA23" s="314"/>
      <c r="AB23" s="317" t="s">
        <v>85</v>
      </c>
      <c r="AC23" s="312">
        <v>21</v>
      </c>
      <c r="AD23" s="313" t="s">
        <v>92</v>
      </c>
      <c r="AE23" s="314"/>
      <c r="AF23" s="315" t="s">
        <v>85</v>
      </c>
      <c r="AG23" s="307">
        <v>21</v>
      </c>
      <c r="AH23" s="308" t="s">
        <v>95</v>
      </c>
      <c r="AI23" s="309"/>
      <c r="AJ23" s="311" t="s">
        <v>85</v>
      </c>
      <c r="AK23" s="307">
        <v>21</v>
      </c>
      <c r="AL23" s="308" t="s">
        <v>94</v>
      </c>
      <c r="AM23" s="309"/>
      <c r="AN23" s="316" t="s">
        <v>85</v>
      </c>
      <c r="AO23" s="312">
        <v>21</v>
      </c>
      <c r="AP23" s="313" t="s">
        <v>97</v>
      </c>
      <c r="AQ23" s="314"/>
      <c r="AR23" s="317" t="s">
        <v>85</v>
      </c>
      <c r="AS23" s="307">
        <v>21</v>
      </c>
      <c r="AT23" s="322" t="s">
        <v>95</v>
      </c>
      <c r="AU23" s="309"/>
      <c r="AV23" s="316" t="s">
        <v>85</v>
      </c>
      <c r="AW23" s="4"/>
    </row>
    <row r="24" spans="1:49">
      <c r="A24" s="307">
        <v>22</v>
      </c>
      <c r="B24" s="308" t="s">
        <v>96</v>
      </c>
      <c r="C24" s="309"/>
      <c r="D24" s="319" t="s">
        <v>85</v>
      </c>
      <c r="E24" s="307">
        <v>22</v>
      </c>
      <c r="F24" s="308" t="s">
        <v>93</v>
      </c>
      <c r="G24" s="309"/>
      <c r="H24" s="311">
        <v>38.714285714285715</v>
      </c>
      <c r="I24" s="307">
        <v>22</v>
      </c>
      <c r="J24" s="308" t="s">
        <v>91</v>
      </c>
      <c r="K24" s="309"/>
      <c r="L24" s="316" t="s">
        <v>85</v>
      </c>
      <c r="M24" s="312">
        <v>22</v>
      </c>
      <c r="N24" s="313" t="s">
        <v>92</v>
      </c>
      <c r="O24" s="314"/>
      <c r="P24" s="315" t="s">
        <v>85</v>
      </c>
      <c r="Q24" s="307">
        <v>22</v>
      </c>
      <c r="R24" s="308" t="s">
        <v>93</v>
      </c>
      <c r="S24" s="309"/>
      <c r="T24" s="316">
        <v>51.714285714285715</v>
      </c>
      <c r="U24" s="307">
        <v>22</v>
      </c>
      <c r="V24" s="308" t="s">
        <v>94</v>
      </c>
      <c r="W24" s="309"/>
      <c r="X24" s="316" t="s">
        <v>85</v>
      </c>
      <c r="Y24" s="312">
        <v>22</v>
      </c>
      <c r="Z24" s="313" t="s">
        <v>97</v>
      </c>
      <c r="AA24" s="314"/>
      <c r="AB24" s="317" t="s">
        <v>85</v>
      </c>
      <c r="AC24" s="312">
        <v>22</v>
      </c>
      <c r="AD24" s="313" t="s">
        <v>97</v>
      </c>
      <c r="AE24" s="314"/>
      <c r="AF24" s="315" t="s">
        <v>85</v>
      </c>
      <c r="AG24" s="307">
        <v>22</v>
      </c>
      <c r="AH24" s="308" t="s">
        <v>91</v>
      </c>
      <c r="AI24" s="309"/>
      <c r="AJ24" s="311" t="s">
        <v>85</v>
      </c>
      <c r="AK24" s="307">
        <v>22</v>
      </c>
      <c r="AL24" s="308" t="s">
        <v>96</v>
      </c>
      <c r="AM24" s="309"/>
      <c r="AN24" s="316" t="s">
        <v>85</v>
      </c>
      <c r="AO24" s="307">
        <v>22</v>
      </c>
      <c r="AP24" s="308" t="s">
        <v>93</v>
      </c>
      <c r="AQ24" s="309"/>
      <c r="AR24" s="311">
        <v>25.571428571428573</v>
      </c>
      <c r="AS24" s="307">
        <v>22</v>
      </c>
      <c r="AT24" s="308" t="s">
        <v>91</v>
      </c>
      <c r="AU24" s="309"/>
      <c r="AV24" s="316" t="s">
        <v>85</v>
      </c>
      <c r="AW24" s="4"/>
    </row>
    <row r="25" spans="1:49">
      <c r="A25" s="312">
        <v>23</v>
      </c>
      <c r="B25" s="313" t="s">
        <v>92</v>
      </c>
      <c r="C25" s="314"/>
      <c r="D25" s="318" t="s">
        <v>85</v>
      </c>
      <c r="E25" s="307">
        <v>23</v>
      </c>
      <c r="F25" s="308" t="s">
        <v>95</v>
      </c>
      <c r="G25" s="309"/>
      <c r="H25" s="311" t="s">
        <v>85</v>
      </c>
      <c r="I25" s="307">
        <v>23</v>
      </c>
      <c r="J25" s="308" t="s">
        <v>94</v>
      </c>
      <c r="K25" s="309"/>
      <c r="L25" s="316" t="s">
        <v>85</v>
      </c>
      <c r="M25" s="312">
        <v>23</v>
      </c>
      <c r="N25" s="313" t="s">
        <v>97</v>
      </c>
      <c r="O25" s="314"/>
      <c r="P25" s="315" t="s">
        <v>85</v>
      </c>
      <c r="Q25" s="307">
        <v>23</v>
      </c>
      <c r="R25" s="308" t="s">
        <v>95</v>
      </c>
      <c r="S25" s="309"/>
      <c r="T25" s="316" t="s">
        <v>85</v>
      </c>
      <c r="U25" s="307">
        <v>23</v>
      </c>
      <c r="V25" s="308" t="s">
        <v>96</v>
      </c>
      <c r="W25" s="309"/>
      <c r="X25" s="316" t="s">
        <v>85</v>
      </c>
      <c r="Y25" s="307">
        <v>23</v>
      </c>
      <c r="Z25" s="308" t="s">
        <v>93</v>
      </c>
      <c r="AA25" s="309"/>
      <c r="AB25" s="311">
        <v>8.5714285714285712</v>
      </c>
      <c r="AC25" s="307">
        <v>23</v>
      </c>
      <c r="AD25" s="308" t="s">
        <v>93</v>
      </c>
      <c r="AE25" s="309"/>
      <c r="AF25" s="316">
        <v>12.571428571428571</v>
      </c>
      <c r="AG25" s="307">
        <v>23</v>
      </c>
      <c r="AH25" s="308" t="s">
        <v>94</v>
      </c>
      <c r="AI25" s="309"/>
      <c r="AJ25" s="311" t="s">
        <v>85</v>
      </c>
      <c r="AK25" s="312">
        <v>23</v>
      </c>
      <c r="AL25" s="326" t="s">
        <v>92</v>
      </c>
      <c r="AM25" s="314"/>
      <c r="AN25" s="315" t="s">
        <v>85</v>
      </c>
      <c r="AO25" s="307">
        <v>23</v>
      </c>
      <c r="AP25" s="322" t="s">
        <v>95</v>
      </c>
      <c r="AQ25" s="309"/>
      <c r="AR25" s="311" t="s">
        <v>85</v>
      </c>
      <c r="AS25" s="307">
        <v>23</v>
      </c>
      <c r="AT25" s="308" t="s">
        <v>94</v>
      </c>
      <c r="AU25" s="309"/>
      <c r="AV25" s="316" t="s">
        <v>85</v>
      </c>
    </row>
    <row r="26" spans="1:49">
      <c r="A26" s="312">
        <v>24</v>
      </c>
      <c r="B26" s="313" t="s">
        <v>97</v>
      </c>
      <c r="C26" s="314"/>
      <c r="D26" s="318" t="s">
        <v>85</v>
      </c>
      <c r="E26" s="307">
        <v>24</v>
      </c>
      <c r="F26" s="308" t="s">
        <v>91</v>
      </c>
      <c r="G26" s="309"/>
      <c r="H26" s="311" t="s">
        <v>85</v>
      </c>
      <c r="I26" s="307">
        <v>24</v>
      </c>
      <c r="J26" s="308" t="s">
        <v>96</v>
      </c>
      <c r="K26" s="309"/>
      <c r="L26" s="316" t="s">
        <v>85</v>
      </c>
      <c r="M26" s="307">
        <v>24</v>
      </c>
      <c r="N26" s="308" t="s">
        <v>93</v>
      </c>
      <c r="O26" s="309"/>
      <c r="P26" s="316">
        <v>47.714285714285715</v>
      </c>
      <c r="Q26" s="307">
        <v>24</v>
      </c>
      <c r="R26" s="308" t="s">
        <v>91</v>
      </c>
      <c r="S26" s="309" t="s">
        <v>80</v>
      </c>
      <c r="T26" s="316"/>
      <c r="U26" s="312"/>
      <c r="V26" s="313" t="s">
        <v>92</v>
      </c>
      <c r="W26" s="314"/>
      <c r="X26" s="315" t="s">
        <v>85</v>
      </c>
      <c r="Y26" s="307">
        <v>24</v>
      </c>
      <c r="Z26" s="308" t="s">
        <v>95</v>
      </c>
      <c r="AA26" s="309"/>
      <c r="AB26" s="311" t="s">
        <v>85</v>
      </c>
      <c r="AC26" s="307">
        <v>24</v>
      </c>
      <c r="AD26" s="308" t="s">
        <v>95</v>
      </c>
      <c r="AE26" s="309"/>
      <c r="AF26" s="316" t="s">
        <v>85</v>
      </c>
      <c r="AG26" s="307">
        <v>24</v>
      </c>
      <c r="AH26" s="308" t="s">
        <v>96</v>
      </c>
      <c r="AI26" s="309"/>
      <c r="AJ26" s="311" t="s">
        <v>85</v>
      </c>
      <c r="AK26" s="312">
        <v>24</v>
      </c>
      <c r="AL26" s="313" t="s">
        <v>97</v>
      </c>
      <c r="AM26" s="314" t="s">
        <v>103</v>
      </c>
      <c r="AN26" s="315" t="s">
        <v>85</v>
      </c>
      <c r="AO26" s="307">
        <v>24</v>
      </c>
      <c r="AP26" s="308" t="s">
        <v>91</v>
      </c>
      <c r="AQ26" s="309"/>
      <c r="AR26" s="311" t="s">
        <v>85</v>
      </c>
      <c r="AS26" s="307">
        <v>24</v>
      </c>
      <c r="AT26" s="308" t="s">
        <v>96</v>
      </c>
      <c r="AU26" s="309"/>
      <c r="AV26" s="316" t="s">
        <v>85</v>
      </c>
    </row>
    <row r="27" spans="1:49">
      <c r="A27" s="307">
        <v>25</v>
      </c>
      <c r="B27" s="308" t="s">
        <v>93</v>
      </c>
      <c r="C27" s="309"/>
      <c r="D27" s="319">
        <v>34.714285714285715</v>
      </c>
      <c r="E27" s="307">
        <v>25</v>
      </c>
      <c r="F27" s="308" t="s">
        <v>94</v>
      </c>
      <c r="G27" s="309"/>
      <c r="H27" s="311" t="s">
        <v>85</v>
      </c>
      <c r="I27" s="312">
        <v>25</v>
      </c>
      <c r="J27" s="313" t="s">
        <v>92</v>
      </c>
      <c r="K27" s="314"/>
      <c r="L27" s="315" t="s">
        <v>85</v>
      </c>
      <c r="M27" s="307">
        <v>25</v>
      </c>
      <c r="N27" s="308" t="s">
        <v>95</v>
      </c>
      <c r="O27" s="309"/>
      <c r="P27" s="316" t="s">
        <v>85</v>
      </c>
      <c r="Q27" s="307">
        <v>25</v>
      </c>
      <c r="R27" s="308" t="s">
        <v>94</v>
      </c>
      <c r="S27" s="309" t="s">
        <v>478</v>
      </c>
      <c r="T27" s="316"/>
      <c r="U27" s="312"/>
      <c r="V27" s="313" t="s">
        <v>97</v>
      </c>
      <c r="W27" s="314"/>
      <c r="X27" s="315" t="s">
        <v>85</v>
      </c>
      <c r="Y27" s="307">
        <v>25</v>
      </c>
      <c r="Z27" s="308" t="s">
        <v>91</v>
      </c>
      <c r="AA27" s="309"/>
      <c r="AB27" s="311" t="s">
        <v>85</v>
      </c>
      <c r="AC27" s="307">
        <v>25</v>
      </c>
      <c r="AD27" s="308" t="s">
        <v>91</v>
      </c>
      <c r="AE27" s="309"/>
      <c r="AF27" s="316" t="s">
        <v>85</v>
      </c>
      <c r="AG27" s="312">
        <v>25</v>
      </c>
      <c r="AH27" s="326" t="s">
        <v>92</v>
      </c>
      <c r="AI27" s="314"/>
      <c r="AJ27" s="317" t="s">
        <v>85</v>
      </c>
      <c r="AK27" s="307">
        <v>25</v>
      </c>
      <c r="AL27" s="308" t="s">
        <v>93</v>
      </c>
      <c r="AM27" s="309" t="s">
        <v>269</v>
      </c>
      <c r="AN27" s="316">
        <v>21.571428571428573</v>
      </c>
      <c r="AO27" s="307">
        <v>25</v>
      </c>
      <c r="AP27" s="308" t="s">
        <v>94</v>
      </c>
      <c r="AQ27" s="309"/>
      <c r="AR27" s="311" t="s">
        <v>85</v>
      </c>
      <c r="AS27" s="312">
        <v>25</v>
      </c>
      <c r="AT27" s="313" t="s">
        <v>92</v>
      </c>
      <c r="AU27" s="314"/>
      <c r="AV27" s="315" t="s">
        <v>85</v>
      </c>
    </row>
    <row r="28" spans="1:49">
      <c r="A28" s="307">
        <v>26</v>
      </c>
      <c r="B28" s="308" t="s">
        <v>95</v>
      </c>
      <c r="C28" s="309"/>
      <c r="D28" s="319" t="s">
        <v>85</v>
      </c>
      <c r="E28" s="307">
        <v>26</v>
      </c>
      <c r="F28" s="308" t="s">
        <v>96</v>
      </c>
      <c r="G28" s="309"/>
      <c r="H28" s="311" t="s">
        <v>85</v>
      </c>
      <c r="I28" s="312">
        <v>26</v>
      </c>
      <c r="J28" s="313" t="s">
        <v>97</v>
      </c>
      <c r="K28" s="314"/>
      <c r="L28" s="315" t="s">
        <v>85</v>
      </c>
      <c r="M28" s="307">
        <v>26</v>
      </c>
      <c r="N28" s="308" t="s">
        <v>91</v>
      </c>
      <c r="O28" s="309"/>
      <c r="P28" s="316" t="s">
        <v>85</v>
      </c>
      <c r="Q28" s="307">
        <v>26</v>
      </c>
      <c r="R28" s="308" t="s">
        <v>96</v>
      </c>
      <c r="S28" s="309" t="s">
        <v>64</v>
      </c>
      <c r="T28" s="316"/>
      <c r="U28" s="307"/>
      <c r="V28" s="308" t="s">
        <v>93</v>
      </c>
      <c r="W28" s="309"/>
      <c r="X28" s="316">
        <v>4.5714285714285712</v>
      </c>
      <c r="Y28" s="307">
        <v>26</v>
      </c>
      <c r="Z28" s="308" t="s">
        <v>94</v>
      </c>
      <c r="AA28" s="309"/>
      <c r="AB28" s="311" t="s">
        <v>85</v>
      </c>
      <c r="AC28" s="307">
        <v>26</v>
      </c>
      <c r="AD28" s="308" t="s">
        <v>94</v>
      </c>
      <c r="AE28" s="309"/>
      <c r="AF28" s="316" t="s">
        <v>85</v>
      </c>
      <c r="AG28" s="312">
        <v>26</v>
      </c>
      <c r="AH28" s="313" t="s">
        <v>97</v>
      </c>
      <c r="AI28" s="314"/>
      <c r="AJ28" s="317" t="s">
        <v>85</v>
      </c>
      <c r="AK28" s="307">
        <v>26</v>
      </c>
      <c r="AL28" s="322" t="s">
        <v>95</v>
      </c>
      <c r="AM28" s="309"/>
      <c r="AN28" s="316" t="s">
        <v>85</v>
      </c>
      <c r="AO28" s="307">
        <v>26</v>
      </c>
      <c r="AP28" s="308" t="s">
        <v>96</v>
      </c>
      <c r="AQ28" s="309"/>
      <c r="AR28" s="311" t="s">
        <v>85</v>
      </c>
      <c r="AS28" s="312">
        <v>26</v>
      </c>
      <c r="AT28" s="326" t="s">
        <v>97</v>
      </c>
      <c r="AU28" s="314"/>
      <c r="AV28" s="315" t="s">
        <v>85</v>
      </c>
    </row>
    <row r="29" spans="1:49">
      <c r="A29" s="307">
        <v>27</v>
      </c>
      <c r="B29" s="308" t="s">
        <v>91</v>
      </c>
      <c r="C29" s="309"/>
      <c r="D29" s="319" t="s">
        <v>85</v>
      </c>
      <c r="E29" s="312">
        <v>27</v>
      </c>
      <c r="F29" s="313" t="s">
        <v>92</v>
      </c>
      <c r="G29" s="314"/>
      <c r="H29" s="317" t="s">
        <v>85</v>
      </c>
      <c r="I29" s="307">
        <v>27</v>
      </c>
      <c r="J29" s="308" t="s">
        <v>93</v>
      </c>
      <c r="K29" s="309"/>
      <c r="L29" s="316">
        <v>43.714285714285715</v>
      </c>
      <c r="M29" s="307">
        <v>27</v>
      </c>
      <c r="N29" s="308" t="s">
        <v>94</v>
      </c>
      <c r="O29" s="309"/>
      <c r="P29" s="316" t="s">
        <v>85</v>
      </c>
      <c r="Q29" s="312">
        <v>27</v>
      </c>
      <c r="R29" s="313" t="s">
        <v>92</v>
      </c>
      <c r="S29" s="314"/>
      <c r="T29" s="315" t="s">
        <v>85</v>
      </c>
      <c r="U29" s="307">
        <v>27</v>
      </c>
      <c r="V29" s="308" t="s">
        <v>95</v>
      </c>
      <c r="W29" s="309"/>
      <c r="X29" s="316" t="s">
        <v>85</v>
      </c>
      <c r="Y29" s="307">
        <v>27</v>
      </c>
      <c r="Z29" s="308" t="s">
        <v>96</v>
      </c>
      <c r="AA29" s="309"/>
      <c r="AB29" s="311" t="s">
        <v>85</v>
      </c>
      <c r="AC29" s="307">
        <v>27</v>
      </c>
      <c r="AD29" s="308" t="s">
        <v>96</v>
      </c>
      <c r="AE29" s="309"/>
      <c r="AF29" s="316" t="s">
        <v>85</v>
      </c>
      <c r="AG29" s="307">
        <v>27</v>
      </c>
      <c r="AH29" s="308" t="s">
        <v>93</v>
      </c>
      <c r="AI29" s="309"/>
      <c r="AJ29" s="311">
        <v>17.571428571428573</v>
      </c>
      <c r="AK29" s="307">
        <v>27</v>
      </c>
      <c r="AL29" s="308" t="s">
        <v>91</v>
      </c>
      <c r="AM29" s="309"/>
      <c r="AN29" s="316" t="s">
        <v>85</v>
      </c>
      <c r="AO29" s="312">
        <v>27</v>
      </c>
      <c r="AP29" s="313" t="s">
        <v>92</v>
      </c>
      <c r="AQ29" s="314"/>
      <c r="AR29" s="317" t="s">
        <v>85</v>
      </c>
      <c r="AS29" s="307">
        <v>27</v>
      </c>
      <c r="AT29" s="308" t="s">
        <v>93</v>
      </c>
      <c r="AU29" s="309"/>
      <c r="AV29" s="316">
        <v>30.571428571428573</v>
      </c>
    </row>
    <row r="30" spans="1:49">
      <c r="A30" s="307">
        <v>28</v>
      </c>
      <c r="B30" s="308" t="s">
        <v>94</v>
      </c>
      <c r="C30" s="309"/>
      <c r="D30" s="319" t="s">
        <v>85</v>
      </c>
      <c r="E30" s="312">
        <v>28</v>
      </c>
      <c r="F30" s="313" t="s">
        <v>97</v>
      </c>
      <c r="G30" s="314"/>
      <c r="H30" s="317" t="s">
        <v>85</v>
      </c>
      <c r="I30" s="307">
        <v>28</v>
      </c>
      <c r="J30" s="308" t="s">
        <v>95</v>
      </c>
      <c r="K30" s="309"/>
      <c r="L30" s="316" t="s">
        <v>85</v>
      </c>
      <c r="M30" s="307">
        <v>28</v>
      </c>
      <c r="N30" s="308" t="s">
        <v>96</v>
      </c>
      <c r="O30" s="309"/>
      <c r="P30" s="316" t="s">
        <v>85</v>
      </c>
      <c r="Q30" s="312">
        <v>28</v>
      </c>
      <c r="R30" s="313" t="s">
        <v>97</v>
      </c>
      <c r="S30" s="314"/>
      <c r="T30" s="315" t="s">
        <v>85</v>
      </c>
      <c r="U30" s="307">
        <v>28</v>
      </c>
      <c r="V30" s="308" t="s">
        <v>91</v>
      </c>
      <c r="W30" s="309"/>
      <c r="X30" s="316" t="s">
        <v>85</v>
      </c>
      <c r="Y30" s="312">
        <v>28</v>
      </c>
      <c r="Z30" s="326" t="s">
        <v>92</v>
      </c>
      <c r="AA30" s="314"/>
      <c r="AB30" s="315" t="s">
        <v>85</v>
      </c>
      <c r="AC30" s="312">
        <v>28</v>
      </c>
      <c r="AD30" s="326" t="s">
        <v>92</v>
      </c>
      <c r="AE30" s="314" t="s">
        <v>102</v>
      </c>
      <c r="AF30" s="315" t="s">
        <v>85</v>
      </c>
      <c r="AG30" s="307">
        <v>28</v>
      </c>
      <c r="AH30" s="322" t="s">
        <v>95</v>
      </c>
      <c r="AI30" s="309"/>
      <c r="AJ30" s="311" t="s">
        <v>85</v>
      </c>
      <c r="AK30" s="307">
        <v>28</v>
      </c>
      <c r="AL30" s="308" t="s">
        <v>94</v>
      </c>
      <c r="AM30" s="309"/>
      <c r="AN30" s="316" t="s">
        <v>85</v>
      </c>
      <c r="AO30" s="312">
        <v>28</v>
      </c>
      <c r="AP30" s="326" t="s">
        <v>97</v>
      </c>
      <c r="AQ30" s="314"/>
      <c r="AR30" s="317" t="s">
        <v>85</v>
      </c>
      <c r="AS30" s="307">
        <v>28</v>
      </c>
      <c r="AT30" s="308" t="s">
        <v>95</v>
      </c>
      <c r="AU30" s="309"/>
      <c r="AV30" s="316" t="s">
        <v>85</v>
      </c>
    </row>
    <row r="31" spans="1:49">
      <c r="A31" s="307">
        <v>29</v>
      </c>
      <c r="B31" s="308" t="s">
        <v>96</v>
      </c>
      <c r="C31" s="309"/>
      <c r="D31" s="310" t="s">
        <v>85</v>
      </c>
      <c r="E31" s="307">
        <v>29</v>
      </c>
      <c r="F31" s="308" t="s">
        <v>93</v>
      </c>
      <c r="G31" s="309"/>
      <c r="H31" s="311">
        <v>39.714285714285715</v>
      </c>
      <c r="I31" s="307">
        <v>29</v>
      </c>
      <c r="J31" s="308" t="s">
        <v>91</v>
      </c>
      <c r="K31" s="309"/>
      <c r="L31" s="316" t="s">
        <v>85</v>
      </c>
      <c r="M31" s="312">
        <v>29</v>
      </c>
      <c r="N31" s="313" t="s">
        <v>92</v>
      </c>
      <c r="O31" s="314"/>
      <c r="P31" s="315" t="s">
        <v>85</v>
      </c>
      <c r="Q31" s="307">
        <v>29</v>
      </c>
      <c r="R31" s="308" t="s">
        <v>93</v>
      </c>
      <c r="S31" s="309"/>
      <c r="T31" s="316">
        <v>52.714285714285715</v>
      </c>
      <c r="U31" s="307">
        <v>29</v>
      </c>
      <c r="V31" s="308" t="s">
        <v>94</v>
      </c>
      <c r="W31" s="309"/>
      <c r="X31" s="316" t="s">
        <v>85</v>
      </c>
      <c r="Y31" s="103"/>
      <c r="Z31" s="104"/>
      <c r="AA31" s="105"/>
      <c r="AB31" s="113"/>
      <c r="AC31" s="312">
        <v>29</v>
      </c>
      <c r="AD31" s="313" t="s">
        <v>97</v>
      </c>
      <c r="AE31" s="314"/>
      <c r="AF31" s="315" t="s">
        <v>85</v>
      </c>
      <c r="AG31" s="307">
        <v>29</v>
      </c>
      <c r="AH31" s="308" t="s">
        <v>91</v>
      </c>
      <c r="AI31" s="309"/>
      <c r="AJ31" s="311" t="s">
        <v>85</v>
      </c>
      <c r="AK31" s="307">
        <v>29</v>
      </c>
      <c r="AL31" s="308" t="s">
        <v>96</v>
      </c>
      <c r="AM31" s="309"/>
      <c r="AN31" s="316" t="s">
        <v>85</v>
      </c>
      <c r="AO31" s="307">
        <v>29</v>
      </c>
      <c r="AP31" s="308" t="s">
        <v>93</v>
      </c>
      <c r="AQ31" s="309"/>
      <c r="AR31" s="311">
        <v>26.571428571428573</v>
      </c>
      <c r="AS31" s="307">
        <v>29</v>
      </c>
      <c r="AT31" s="308" t="s">
        <v>91</v>
      </c>
      <c r="AU31" s="309"/>
      <c r="AV31" s="316" t="s">
        <v>85</v>
      </c>
    </row>
    <row r="32" spans="1:49">
      <c r="A32" s="312">
        <v>30</v>
      </c>
      <c r="B32" s="313" t="s">
        <v>92</v>
      </c>
      <c r="C32" s="314"/>
      <c r="D32" s="662" t="s">
        <v>85</v>
      </c>
      <c r="E32" s="307">
        <v>30</v>
      </c>
      <c r="F32" s="308" t="s">
        <v>95</v>
      </c>
      <c r="G32" s="309"/>
      <c r="H32" s="311" t="s">
        <v>85</v>
      </c>
      <c r="I32" s="307">
        <v>30</v>
      </c>
      <c r="J32" s="308" t="s">
        <v>94</v>
      </c>
      <c r="K32" s="309"/>
      <c r="L32" s="316" t="s">
        <v>85</v>
      </c>
      <c r="M32" s="312">
        <v>30</v>
      </c>
      <c r="N32" s="313" t="s">
        <v>97</v>
      </c>
      <c r="O32" s="314"/>
      <c r="P32" s="315" t="s">
        <v>85</v>
      </c>
      <c r="Q32" s="307">
        <v>30</v>
      </c>
      <c r="R32" s="308" t="s">
        <v>95</v>
      </c>
      <c r="S32" s="309"/>
      <c r="T32" s="316">
        <v>1</v>
      </c>
      <c r="U32" s="307">
        <v>30</v>
      </c>
      <c r="V32" s="308" t="s">
        <v>96</v>
      </c>
      <c r="W32" s="309"/>
      <c r="X32" s="316" t="s">
        <v>85</v>
      </c>
      <c r="Y32" s="109"/>
      <c r="Z32" s="110"/>
      <c r="AA32" s="111"/>
      <c r="AB32" s="112"/>
      <c r="AC32" s="307">
        <v>30</v>
      </c>
      <c r="AD32" s="308" t="s">
        <v>93</v>
      </c>
      <c r="AE32" s="309"/>
      <c r="AF32" s="316">
        <v>13.571428571428571</v>
      </c>
      <c r="AG32" s="307">
        <v>30</v>
      </c>
      <c r="AH32" s="308" t="s">
        <v>94</v>
      </c>
      <c r="AI32" s="309"/>
      <c r="AJ32" s="311" t="s">
        <v>85</v>
      </c>
      <c r="AK32" s="312">
        <v>30</v>
      </c>
      <c r="AL32" s="313" t="s">
        <v>92</v>
      </c>
      <c r="AM32" s="314"/>
      <c r="AN32" s="315" t="s">
        <v>85</v>
      </c>
      <c r="AO32" s="307">
        <v>30</v>
      </c>
      <c r="AP32" s="308" t="s">
        <v>95</v>
      </c>
      <c r="AQ32" s="309"/>
      <c r="AR32" s="311" t="s">
        <v>85</v>
      </c>
      <c r="AS32" s="307">
        <v>30</v>
      </c>
      <c r="AT32" s="308" t="s">
        <v>94</v>
      </c>
      <c r="AU32" s="309"/>
      <c r="AV32" s="316" t="s">
        <v>85</v>
      </c>
    </row>
    <row r="33" spans="1:48">
      <c r="A33" s="312">
        <v>31</v>
      </c>
      <c r="B33" s="313" t="s">
        <v>97</v>
      </c>
      <c r="C33" s="314"/>
      <c r="D33" s="662" t="s">
        <v>85</v>
      </c>
      <c r="E33" s="109"/>
      <c r="F33" s="110"/>
      <c r="G33" s="111"/>
      <c r="H33" s="320"/>
      <c r="I33" s="321">
        <v>31</v>
      </c>
      <c r="J33" s="322" t="s">
        <v>96</v>
      </c>
      <c r="K33" s="323"/>
      <c r="L33" s="324" t="s">
        <v>85</v>
      </c>
      <c r="M33" s="109"/>
      <c r="N33" s="110"/>
      <c r="O33" s="111"/>
      <c r="P33" s="112"/>
      <c r="Q33" s="321">
        <v>31</v>
      </c>
      <c r="R33" s="322" t="s">
        <v>91</v>
      </c>
      <c r="S33" s="664" t="s">
        <v>79</v>
      </c>
      <c r="T33" s="324"/>
      <c r="U33" s="325"/>
      <c r="V33" s="326" t="s">
        <v>92</v>
      </c>
      <c r="W33" s="328"/>
      <c r="X33" s="327" t="s">
        <v>85</v>
      </c>
      <c r="Y33" s="4"/>
      <c r="Z33" s="4"/>
      <c r="AA33" s="4"/>
      <c r="AB33" s="4"/>
      <c r="AC33" s="321">
        <v>31</v>
      </c>
      <c r="AD33" s="322" t="s">
        <v>95</v>
      </c>
      <c r="AE33" s="323"/>
      <c r="AF33" s="324" t="s">
        <v>85</v>
      </c>
      <c r="AG33" s="109"/>
      <c r="AH33" s="110"/>
      <c r="AI33" s="111"/>
      <c r="AJ33" s="112"/>
      <c r="AK33" s="325">
        <v>31</v>
      </c>
      <c r="AL33" s="326" t="s">
        <v>97</v>
      </c>
      <c r="AM33" s="328"/>
      <c r="AN33" s="327" t="s">
        <v>85</v>
      </c>
      <c r="AO33" s="109"/>
      <c r="AP33" s="110"/>
      <c r="AQ33" s="111"/>
      <c r="AR33" s="112"/>
      <c r="AS33" s="321">
        <v>31</v>
      </c>
      <c r="AT33" s="322" t="s">
        <v>96</v>
      </c>
      <c r="AU33" s="323"/>
      <c r="AV33" s="324" t="s">
        <v>85</v>
      </c>
    </row>
  </sheetData>
  <conditionalFormatting sqref="B3:B33">
    <cfRule type="expression" dxfId="27" priority="1" stopIfTrue="1">
      <formula>OR($D3="Skema 1")</formula>
    </cfRule>
    <cfRule type="expression" dxfId="26" priority="2" stopIfTrue="1">
      <formula>OR($D3="Skema 2")</formula>
    </cfRule>
    <cfRule type="expression" dxfId="25" priority="3" stopIfTrue="1">
      <formula>OR($D3="Skema 3")</formula>
    </cfRule>
    <cfRule type="expression" dxfId="24" priority="4">
      <formula>OR($D3="Ikke relevant")</formula>
    </cfRule>
    <cfRule type="expression" dxfId="23" priority="5">
      <formula>OR($D3="pæd.dag")</formula>
    </cfRule>
    <cfRule type="expression" dxfId="22" priority="6">
      <formula>OR($D3="nul-dag")</formula>
    </cfRule>
    <cfRule type="expression" dxfId="21" priority="7">
      <formula>OR($D3="SH-dag")</formula>
    </cfRule>
    <cfRule type="expression" dxfId="20" priority="8">
      <formula>OR($D3="ekskursion")</formula>
    </cfRule>
    <cfRule type="expression" dxfId="19" priority="9">
      <formula>OR($D3="lejrskole")</formula>
    </cfRule>
    <cfRule type="expression" dxfId="18" priority="10">
      <formula>OR($D3="emnedag")</formula>
    </cfRule>
    <cfRule type="expression" dxfId="17" priority="11">
      <formula>OR($D3="fagdag")</formula>
    </cfRule>
    <cfRule type="expression" dxfId="16" priority="12">
      <formula>OR($D3="feriedag")</formula>
    </cfRule>
    <cfRule type="expression" dxfId="15" priority="13">
      <formula>OR($D3="weekend")</formula>
    </cfRule>
    <cfRule type="expression" dxfId="14" priority="14" stopIfTrue="1">
      <formula>OR($D3="Skema 4")</formula>
    </cfRule>
  </conditionalFormatting>
  <pageMargins left="0.7" right="0.7" top="0.75" bottom="0.75" header="0.3" footer="0.3"/>
  <pageSetup paperSize="9" scale="48"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B0A3-1C40-BA41-9DDE-BD930522EE78}">
  <sheetPr>
    <pageSetUpPr fitToPage="1"/>
  </sheetPr>
  <dimension ref="A1:X33"/>
  <sheetViews>
    <sheetView workbookViewId="0">
      <selection activeCell="A2" sqref="A2"/>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179" t="str">
        <f>'TOMT ÅR'!F1</f>
        <v>Årskalender for  - skoleåret 2025-2026</v>
      </c>
      <c r="B1" s="1180"/>
      <c r="C1" s="1180"/>
      <c r="D1" s="1180"/>
      <c r="E1" s="1180"/>
      <c r="F1" s="1180"/>
      <c r="G1" s="1180"/>
      <c r="H1" s="1180"/>
      <c r="I1" s="1180"/>
      <c r="J1" s="1180"/>
      <c r="K1" s="1180"/>
      <c r="L1" s="1180"/>
      <c r="M1" s="1180"/>
      <c r="N1" s="1180"/>
      <c r="O1" s="1180"/>
      <c r="P1" s="1180"/>
      <c r="Q1" s="1180"/>
      <c r="R1" s="1180"/>
      <c r="S1" s="1180"/>
      <c r="T1" s="1180"/>
      <c r="U1" s="1180"/>
      <c r="V1" s="1180"/>
      <c r="W1" s="1180"/>
      <c r="X1" s="1181"/>
    </row>
    <row r="2" spans="1:24" ht="18">
      <c r="A2" s="183" t="s">
        <v>58</v>
      </c>
      <c r="B2" s="184"/>
      <c r="C2" s="185"/>
      <c r="D2" s="186"/>
      <c r="E2" s="183" t="s">
        <v>59</v>
      </c>
      <c r="F2" s="184"/>
      <c r="G2" s="185"/>
      <c r="H2" s="186"/>
      <c r="I2" s="187" t="s">
        <v>60</v>
      </c>
      <c r="J2" s="184"/>
      <c r="K2" s="185"/>
      <c r="L2" s="186"/>
      <c r="M2" s="183" t="s">
        <v>61</v>
      </c>
      <c r="N2" s="184"/>
      <c r="O2" s="185"/>
      <c r="P2" s="186"/>
      <c r="Q2" s="183" t="s">
        <v>62</v>
      </c>
      <c r="R2" s="184"/>
      <c r="S2" s="185"/>
      <c r="T2" s="186"/>
      <c r="U2" s="183" t="s">
        <v>63</v>
      </c>
      <c r="V2" s="184"/>
      <c r="W2" s="185"/>
      <c r="X2" s="186"/>
    </row>
    <row r="3" spans="1:24">
      <c r="A3" s="307">
        <v>1</v>
      </c>
      <c r="B3" s="308" t="s">
        <v>96</v>
      </c>
      <c r="C3" s="309"/>
      <c r="D3" s="310" t="s">
        <v>85</v>
      </c>
      <c r="E3" s="307">
        <v>1</v>
      </c>
      <c r="F3" s="308" t="s">
        <v>93</v>
      </c>
      <c r="G3" s="309"/>
      <c r="H3" s="311">
        <v>35.714285714285715</v>
      </c>
      <c r="I3" s="307">
        <v>1</v>
      </c>
      <c r="J3" s="308" t="s">
        <v>91</v>
      </c>
      <c r="K3" s="309"/>
      <c r="L3" s="316" t="s">
        <v>85</v>
      </c>
      <c r="M3" s="312">
        <v>1</v>
      </c>
      <c r="N3" s="313" t="s">
        <v>92</v>
      </c>
      <c r="O3" s="314"/>
      <c r="P3" s="315" t="s">
        <v>85</v>
      </c>
      <c r="Q3" s="307">
        <v>1</v>
      </c>
      <c r="R3" s="308" t="s">
        <v>93</v>
      </c>
      <c r="S3" s="309"/>
      <c r="T3" s="316">
        <v>48.714285714285715</v>
      </c>
      <c r="U3" s="307">
        <v>1</v>
      </c>
      <c r="V3" s="308" t="s">
        <v>94</v>
      </c>
      <c r="W3" s="309" t="s">
        <v>84</v>
      </c>
      <c r="X3" s="316" t="s">
        <v>85</v>
      </c>
    </row>
    <row r="4" spans="1:24">
      <c r="A4" s="312">
        <v>2</v>
      </c>
      <c r="B4" s="313" t="s">
        <v>92</v>
      </c>
      <c r="C4" s="314"/>
      <c r="D4" s="662" t="s">
        <v>85</v>
      </c>
      <c r="E4" s="307">
        <v>2</v>
      </c>
      <c r="F4" s="308" t="s">
        <v>95</v>
      </c>
      <c r="G4" s="309"/>
      <c r="H4" s="311" t="s">
        <v>85</v>
      </c>
      <c r="I4" s="307">
        <v>2</v>
      </c>
      <c r="J4" s="308" t="s">
        <v>94</v>
      </c>
      <c r="K4" s="309"/>
      <c r="L4" s="316" t="s">
        <v>85</v>
      </c>
      <c r="M4" s="312">
        <v>2</v>
      </c>
      <c r="N4" s="313" t="s">
        <v>97</v>
      </c>
      <c r="O4" s="314"/>
      <c r="P4" s="315" t="s">
        <v>85</v>
      </c>
      <c r="Q4" s="307">
        <v>2</v>
      </c>
      <c r="R4" s="308" t="s">
        <v>95</v>
      </c>
      <c r="S4" s="309"/>
      <c r="T4" s="316" t="s">
        <v>85</v>
      </c>
      <c r="U4" s="307">
        <v>2</v>
      </c>
      <c r="V4" s="308" t="s">
        <v>96</v>
      </c>
      <c r="W4" s="309"/>
      <c r="X4" s="316" t="s">
        <v>85</v>
      </c>
    </row>
    <row r="5" spans="1:24">
      <c r="A5" s="312">
        <v>3</v>
      </c>
      <c r="B5" s="313" t="s">
        <v>97</v>
      </c>
      <c r="C5" s="314"/>
      <c r="D5" s="662" t="s">
        <v>85</v>
      </c>
      <c r="E5" s="307">
        <v>3</v>
      </c>
      <c r="F5" s="308" t="s">
        <v>91</v>
      </c>
      <c r="G5" s="309"/>
      <c r="H5" s="311" t="s">
        <v>85</v>
      </c>
      <c r="I5" s="307">
        <v>3</v>
      </c>
      <c r="J5" s="308" t="s">
        <v>96</v>
      </c>
      <c r="K5" s="309"/>
      <c r="L5" s="316" t="s">
        <v>85</v>
      </c>
      <c r="M5" s="307">
        <v>3</v>
      </c>
      <c r="N5" s="308" t="s">
        <v>93</v>
      </c>
      <c r="O5" s="309"/>
      <c r="P5" s="316">
        <v>44.714285714285715</v>
      </c>
      <c r="Q5" s="307">
        <v>3</v>
      </c>
      <c r="R5" s="308" t="s">
        <v>91</v>
      </c>
      <c r="S5" s="309"/>
      <c r="T5" s="316" t="s">
        <v>85</v>
      </c>
      <c r="U5" s="312">
        <v>3</v>
      </c>
      <c r="V5" s="313" t="s">
        <v>92</v>
      </c>
      <c r="W5" s="314"/>
      <c r="X5" s="315" t="s">
        <v>85</v>
      </c>
    </row>
    <row r="6" spans="1:24">
      <c r="A6" s="307">
        <v>4</v>
      </c>
      <c r="B6" s="308" t="s">
        <v>93</v>
      </c>
      <c r="C6" s="309"/>
      <c r="D6" s="310">
        <v>31.714285714285715</v>
      </c>
      <c r="E6" s="307">
        <v>4</v>
      </c>
      <c r="F6" s="308" t="s">
        <v>94</v>
      </c>
      <c r="G6" s="309"/>
      <c r="H6" s="311" t="s">
        <v>85</v>
      </c>
      <c r="I6" s="312">
        <v>4</v>
      </c>
      <c r="J6" s="313" t="s">
        <v>92</v>
      </c>
      <c r="K6" s="314"/>
      <c r="L6" s="315" t="s">
        <v>85</v>
      </c>
      <c r="M6" s="307">
        <v>4</v>
      </c>
      <c r="N6" s="308" t="s">
        <v>95</v>
      </c>
      <c r="O6" s="309"/>
      <c r="P6" s="316" t="s">
        <v>85</v>
      </c>
      <c r="Q6" s="307">
        <v>4</v>
      </c>
      <c r="R6" s="308" t="s">
        <v>94</v>
      </c>
      <c r="S6" s="309"/>
      <c r="T6" s="316" t="s">
        <v>85</v>
      </c>
      <c r="U6" s="312">
        <v>4</v>
      </c>
      <c r="V6" s="313" t="s">
        <v>97</v>
      </c>
      <c r="W6" s="314"/>
      <c r="X6" s="315" t="s">
        <v>85</v>
      </c>
    </row>
    <row r="7" spans="1:24">
      <c r="A7" s="307">
        <v>5</v>
      </c>
      <c r="B7" s="308" t="s">
        <v>95</v>
      </c>
      <c r="C7" s="309"/>
      <c r="D7" s="319" t="s">
        <v>85</v>
      </c>
      <c r="E7" s="307">
        <v>5</v>
      </c>
      <c r="F7" s="308" t="s">
        <v>96</v>
      </c>
      <c r="G7" s="309"/>
      <c r="H7" s="311" t="s">
        <v>85</v>
      </c>
      <c r="I7" s="312">
        <v>5</v>
      </c>
      <c r="J7" s="313" t="s">
        <v>97</v>
      </c>
      <c r="K7" s="314"/>
      <c r="L7" s="315" t="s">
        <v>85</v>
      </c>
      <c r="M7" s="307">
        <v>5</v>
      </c>
      <c r="N7" s="308" t="s">
        <v>91</v>
      </c>
      <c r="O7" s="309"/>
      <c r="P7" s="316" t="s">
        <v>85</v>
      </c>
      <c r="Q7" s="307">
        <v>5</v>
      </c>
      <c r="R7" s="308" t="s">
        <v>96</v>
      </c>
      <c r="S7" s="309"/>
      <c r="T7" s="316" t="s">
        <v>85</v>
      </c>
      <c r="U7" s="307">
        <v>5</v>
      </c>
      <c r="V7" s="308" t="s">
        <v>93</v>
      </c>
      <c r="W7" s="309"/>
      <c r="X7" s="316">
        <v>1.5714285714285714</v>
      </c>
    </row>
    <row r="8" spans="1:24">
      <c r="A8" s="307">
        <v>6</v>
      </c>
      <c r="B8" s="308" t="s">
        <v>91</v>
      </c>
      <c r="C8" s="309"/>
      <c r="D8" s="319" t="s">
        <v>85</v>
      </c>
      <c r="E8" s="312">
        <v>6</v>
      </c>
      <c r="F8" s="313" t="s">
        <v>92</v>
      </c>
      <c r="G8" s="314"/>
      <c r="H8" s="317" t="s">
        <v>85</v>
      </c>
      <c r="I8" s="307">
        <v>6</v>
      </c>
      <c r="J8" s="308" t="s">
        <v>93</v>
      </c>
      <c r="K8" s="309"/>
      <c r="L8" s="316">
        <v>40.714285714285715</v>
      </c>
      <c r="M8" s="307">
        <v>6</v>
      </c>
      <c r="N8" s="308" t="s">
        <v>94</v>
      </c>
      <c r="O8" s="309"/>
      <c r="P8" s="316" t="s">
        <v>85</v>
      </c>
      <c r="Q8" s="312">
        <v>6</v>
      </c>
      <c r="R8" s="313" t="s">
        <v>92</v>
      </c>
      <c r="S8" s="314"/>
      <c r="T8" s="315" t="s">
        <v>85</v>
      </c>
      <c r="U8" s="307">
        <v>6</v>
      </c>
      <c r="V8" s="308" t="s">
        <v>95</v>
      </c>
      <c r="W8" s="309"/>
      <c r="X8" s="316" t="s">
        <v>85</v>
      </c>
    </row>
    <row r="9" spans="1:24">
      <c r="A9" s="307">
        <v>7</v>
      </c>
      <c r="B9" s="308" t="s">
        <v>94</v>
      </c>
      <c r="C9" s="309"/>
      <c r="D9" s="319" t="s">
        <v>85</v>
      </c>
      <c r="E9" s="312">
        <v>7</v>
      </c>
      <c r="F9" s="313" t="s">
        <v>97</v>
      </c>
      <c r="G9" s="314"/>
      <c r="H9" s="317" t="s">
        <v>85</v>
      </c>
      <c r="I9" s="307">
        <v>7</v>
      </c>
      <c r="J9" s="308" t="s">
        <v>95</v>
      </c>
      <c r="K9" s="309"/>
      <c r="L9" s="316" t="s">
        <v>85</v>
      </c>
      <c r="M9" s="307">
        <v>7</v>
      </c>
      <c r="N9" s="308" t="s">
        <v>96</v>
      </c>
      <c r="O9" s="309"/>
      <c r="P9" s="316" t="s">
        <v>85</v>
      </c>
      <c r="Q9" s="312">
        <v>7</v>
      </c>
      <c r="R9" s="313" t="s">
        <v>97</v>
      </c>
      <c r="S9" s="314"/>
      <c r="T9" s="315" t="s">
        <v>85</v>
      </c>
      <c r="U9" s="307">
        <v>7</v>
      </c>
      <c r="V9" s="308" t="s">
        <v>91</v>
      </c>
      <c r="W9" s="309"/>
      <c r="X9" s="316" t="s">
        <v>85</v>
      </c>
    </row>
    <row r="10" spans="1:24">
      <c r="A10" s="307">
        <v>8</v>
      </c>
      <c r="B10" s="308" t="s">
        <v>96</v>
      </c>
      <c r="C10" s="309"/>
      <c r="D10" s="310" t="s">
        <v>85</v>
      </c>
      <c r="E10" s="307">
        <v>8</v>
      </c>
      <c r="F10" s="308" t="s">
        <v>93</v>
      </c>
      <c r="G10" s="309"/>
      <c r="H10" s="311">
        <v>36.714285714285715</v>
      </c>
      <c r="I10" s="307">
        <v>8</v>
      </c>
      <c r="J10" s="308" t="s">
        <v>91</v>
      </c>
      <c r="K10" s="309"/>
      <c r="L10" s="316" t="s">
        <v>85</v>
      </c>
      <c r="M10" s="312">
        <v>8</v>
      </c>
      <c r="N10" s="313" t="s">
        <v>92</v>
      </c>
      <c r="O10" s="314"/>
      <c r="P10" s="315" t="s">
        <v>85</v>
      </c>
      <c r="Q10" s="307">
        <v>8</v>
      </c>
      <c r="R10" s="308" t="s">
        <v>93</v>
      </c>
      <c r="S10" s="309"/>
      <c r="T10" s="316">
        <v>49.714285714285715</v>
      </c>
      <c r="U10" s="307">
        <v>8</v>
      </c>
      <c r="V10" s="308" t="s">
        <v>94</v>
      </c>
      <c r="W10" s="309"/>
      <c r="X10" s="316" t="s">
        <v>85</v>
      </c>
    </row>
    <row r="11" spans="1:24">
      <c r="A11" s="312">
        <v>9</v>
      </c>
      <c r="B11" s="313" t="s">
        <v>92</v>
      </c>
      <c r="C11" s="314"/>
      <c r="D11" s="662" t="s">
        <v>85</v>
      </c>
      <c r="E11" s="307">
        <v>9</v>
      </c>
      <c r="F11" s="308" t="s">
        <v>95</v>
      </c>
      <c r="G11" s="309"/>
      <c r="H11" s="311" t="s">
        <v>85</v>
      </c>
      <c r="I11" s="307">
        <v>9</v>
      </c>
      <c r="J11" s="308" t="s">
        <v>94</v>
      </c>
      <c r="K11" s="309"/>
      <c r="L11" s="316" t="s">
        <v>85</v>
      </c>
      <c r="M11" s="312">
        <v>9</v>
      </c>
      <c r="N11" s="313" t="s">
        <v>97</v>
      </c>
      <c r="O11" s="314"/>
      <c r="P11" s="315" t="s">
        <v>85</v>
      </c>
      <c r="Q11" s="307">
        <v>9</v>
      </c>
      <c r="R11" s="308" t="s">
        <v>95</v>
      </c>
      <c r="S11" s="309"/>
      <c r="T11" s="316" t="s">
        <v>85</v>
      </c>
      <c r="U11" s="307">
        <v>9</v>
      </c>
      <c r="V11" s="308" t="s">
        <v>96</v>
      </c>
      <c r="W11" s="309"/>
      <c r="X11" s="316" t="s">
        <v>85</v>
      </c>
    </row>
    <row r="12" spans="1:24">
      <c r="A12" s="312">
        <v>10</v>
      </c>
      <c r="B12" s="313" t="s">
        <v>97</v>
      </c>
      <c r="C12" s="314"/>
      <c r="D12" s="662" t="s">
        <v>85</v>
      </c>
      <c r="E12" s="307">
        <v>10</v>
      </c>
      <c r="F12" s="308" t="s">
        <v>91</v>
      </c>
      <c r="G12" s="309"/>
      <c r="H12" s="311" t="s">
        <v>85</v>
      </c>
      <c r="I12" s="307">
        <v>10</v>
      </c>
      <c r="J12" s="308" t="s">
        <v>96</v>
      </c>
      <c r="K12" s="309"/>
      <c r="L12" s="316" t="s">
        <v>85</v>
      </c>
      <c r="M12" s="307">
        <v>10</v>
      </c>
      <c r="N12" s="308" t="s">
        <v>93</v>
      </c>
      <c r="O12" s="309"/>
      <c r="P12" s="316">
        <v>45.714285714285715</v>
      </c>
      <c r="Q12" s="307">
        <v>10</v>
      </c>
      <c r="R12" s="308" t="s">
        <v>91</v>
      </c>
      <c r="S12" s="309"/>
      <c r="T12" s="316" t="s">
        <v>85</v>
      </c>
      <c r="U12" s="312">
        <v>10</v>
      </c>
      <c r="V12" s="313" t="s">
        <v>92</v>
      </c>
      <c r="W12" s="314"/>
      <c r="X12" s="315" t="s">
        <v>85</v>
      </c>
    </row>
    <row r="13" spans="1:24">
      <c r="A13" s="307">
        <v>11</v>
      </c>
      <c r="B13" s="308" t="s">
        <v>93</v>
      </c>
      <c r="C13" s="309"/>
      <c r="D13" s="310">
        <v>32.714285714285715</v>
      </c>
      <c r="E13" s="307">
        <v>11</v>
      </c>
      <c r="F13" s="308" t="s">
        <v>94</v>
      </c>
      <c r="G13" s="309"/>
      <c r="H13" s="311" t="s">
        <v>85</v>
      </c>
      <c r="I13" s="312">
        <v>11</v>
      </c>
      <c r="J13" s="313" t="s">
        <v>92</v>
      </c>
      <c r="K13" s="314"/>
      <c r="L13" s="315" t="s">
        <v>85</v>
      </c>
      <c r="M13" s="307">
        <v>11</v>
      </c>
      <c r="N13" s="308" t="s">
        <v>95</v>
      </c>
      <c r="O13" s="309"/>
      <c r="P13" s="316" t="s">
        <v>85</v>
      </c>
      <c r="Q13" s="307">
        <v>11</v>
      </c>
      <c r="R13" s="308" t="s">
        <v>94</v>
      </c>
      <c r="S13" s="309"/>
      <c r="T13" s="316" t="s">
        <v>85</v>
      </c>
      <c r="U13" s="312">
        <v>11</v>
      </c>
      <c r="V13" s="313" t="s">
        <v>97</v>
      </c>
      <c r="W13" s="314"/>
      <c r="X13" s="315" t="s">
        <v>85</v>
      </c>
    </row>
    <row r="14" spans="1:24">
      <c r="A14" s="307">
        <v>12</v>
      </c>
      <c r="B14" s="308" t="s">
        <v>95</v>
      </c>
      <c r="C14" s="309"/>
      <c r="D14" s="319" t="s">
        <v>85</v>
      </c>
      <c r="E14" s="307">
        <v>12</v>
      </c>
      <c r="F14" s="308" t="s">
        <v>96</v>
      </c>
      <c r="G14" s="309"/>
      <c r="H14" s="311" t="s">
        <v>85</v>
      </c>
      <c r="I14" s="312">
        <v>12</v>
      </c>
      <c r="J14" s="313" t="s">
        <v>97</v>
      </c>
      <c r="K14" s="314"/>
      <c r="L14" s="315" t="s">
        <v>85</v>
      </c>
      <c r="M14" s="307">
        <v>12</v>
      </c>
      <c r="N14" s="308" t="s">
        <v>91</v>
      </c>
      <c r="O14" s="309"/>
      <c r="P14" s="316" t="s">
        <v>85</v>
      </c>
      <c r="Q14" s="307">
        <v>12</v>
      </c>
      <c r="R14" s="308" t="s">
        <v>96</v>
      </c>
      <c r="S14" s="309"/>
      <c r="T14" s="316" t="s">
        <v>85</v>
      </c>
      <c r="U14" s="307">
        <v>12</v>
      </c>
      <c r="V14" s="308" t="s">
        <v>93</v>
      </c>
      <c r="W14" s="309"/>
      <c r="X14" s="316">
        <v>2.5714285714285716</v>
      </c>
    </row>
    <row r="15" spans="1:24">
      <c r="A15" s="307">
        <v>13</v>
      </c>
      <c r="B15" s="308" t="s">
        <v>91</v>
      </c>
      <c r="C15" s="309"/>
      <c r="D15" s="319" t="s">
        <v>85</v>
      </c>
      <c r="E15" s="312">
        <v>13</v>
      </c>
      <c r="F15" s="313" t="s">
        <v>92</v>
      </c>
      <c r="G15" s="314"/>
      <c r="H15" s="317" t="s">
        <v>85</v>
      </c>
      <c r="I15" s="307">
        <v>13</v>
      </c>
      <c r="J15" s="308" t="s">
        <v>93</v>
      </c>
      <c r="K15" s="309"/>
      <c r="L15" s="316">
        <v>41.714285714285715</v>
      </c>
      <c r="M15" s="307">
        <v>13</v>
      </c>
      <c r="N15" s="308" t="s">
        <v>94</v>
      </c>
      <c r="O15" s="309"/>
      <c r="P15" s="316" t="s">
        <v>85</v>
      </c>
      <c r="Q15" s="312">
        <v>13</v>
      </c>
      <c r="R15" s="313" t="s">
        <v>92</v>
      </c>
      <c r="S15" s="314"/>
      <c r="T15" s="315" t="s">
        <v>85</v>
      </c>
      <c r="U15" s="307">
        <v>13</v>
      </c>
      <c r="V15" s="308" t="s">
        <v>95</v>
      </c>
      <c r="W15" s="309"/>
      <c r="X15" s="316" t="s">
        <v>85</v>
      </c>
    </row>
    <row r="16" spans="1:24">
      <c r="A16" s="307">
        <v>14</v>
      </c>
      <c r="B16" s="308" t="s">
        <v>94</v>
      </c>
      <c r="C16" s="309"/>
      <c r="D16" s="319" t="s">
        <v>85</v>
      </c>
      <c r="E16" s="312">
        <v>14</v>
      </c>
      <c r="F16" s="313" t="s">
        <v>97</v>
      </c>
      <c r="G16" s="314"/>
      <c r="H16" s="317" t="s">
        <v>85</v>
      </c>
      <c r="I16" s="307">
        <v>14</v>
      </c>
      <c r="J16" s="308" t="s">
        <v>95</v>
      </c>
      <c r="K16" s="309"/>
      <c r="L16" s="316" t="s">
        <v>85</v>
      </c>
      <c r="M16" s="307">
        <v>14</v>
      </c>
      <c r="N16" s="308" t="s">
        <v>96</v>
      </c>
      <c r="O16" s="309"/>
      <c r="P16" s="316" t="s">
        <v>85</v>
      </c>
      <c r="Q16" s="312">
        <v>14</v>
      </c>
      <c r="R16" s="313" t="s">
        <v>97</v>
      </c>
      <c r="S16" s="314"/>
      <c r="T16" s="315" t="s">
        <v>85</v>
      </c>
      <c r="U16" s="307">
        <v>14</v>
      </c>
      <c r="V16" s="308" t="s">
        <v>91</v>
      </c>
      <c r="W16" s="309"/>
      <c r="X16" s="316" t="s">
        <v>85</v>
      </c>
    </row>
    <row r="17" spans="1:24">
      <c r="A17" s="307">
        <v>15</v>
      </c>
      <c r="B17" s="308" t="s">
        <v>96</v>
      </c>
      <c r="C17" s="309"/>
      <c r="D17" s="310" t="s">
        <v>85</v>
      </c>
      <c r="E17" s="307">
        <v>15</v>
      </c>
      <c r="F17" s="308" t="s">
        <v>93</v>
      </c>
      <c r="G17" s="309"/>
      <c r="H17" s="311">
        <v>37.714285714285715</v>
      </c>
      <c r="I17" s="307">
        <v>15</v>
      </c>
      <c r="J17" s="308" t="s">
        <v>91</v>
      </c>
      <c r="K17" s="309"/>
      <c r="L17" s="316" t="s">
        <v>85</v>
      </c>
      <c r="M17" s="312">
        <v>15</v>
      </c>
      <c r="N17" s="313" t="s">
        <v>92</v>
      </c>
      <c r="O17" s="314"/>
      <c r="P17" s="315" t="s">
        <v>85</v>
      </c>
      <c r="Q17" s="307">
        <v>15</v>
      </c>
      <c r="R17" s="308" t="s">
        <v>93</v>
      </c>
      <c r="S17" s="309"/>
      <c r="T17" s="316">
        <v>50.714285714285715</v>
      </c>
      <c r="U17" s="307">
        <v>15</v>
      </c>
      <c r="V17" s="308" t="s">
        <v>94</v>
      </c>
      <c r="W17" s="309"/>
      <c r="X17" s="316" t="s">
        <v>85</v>
      </c>
    </row>
    <row r="18" spans="1:24">
      <c r="A18" s="312">
        <v>16</v>
      </c>
      <c r="B18" s="313" t="s">
        <v>92</v>
      </c>
      <c r="C18" s="314"/>
      <c r="D18" s="662" t="s">
        <v>85</v>
      </c>
      <c r="E18" s="307">
        <v>16</v>
      </c>
      <c r="F18" s="308" t="s">
        <v>95</v>
      </c>
      <c r="G18" s="309"/>
      <c r="H18" s="311" t="s">
        <v>85</v>
      </c>
      <c r="I18" s="307">
        <v>16</v>
      </c>
      <c r="J18" s="308" t="s">
        <v>94</v>
      </c>
      <c r="K18" s="309"/>
      <c r="L18" s="316" t="s">
        <v>85</v>
      </c>
      <c r="M18" s="312">
        <v>16</v>
      </c>
      <c r="N18" s="313" t="s">
        <v>97</v>
      </c>
      <c r="O18" s="314"/>
      <c r="P18" s="315" t="s">
        <v>85</v>
      </c>
      <c r="Q18" s="307">
        <v>16</v>
      </c>
      <c r="R18" s="308" t="s">
        <v>95</v>
      </c>
      <c r="S18" s="309"/>
      <c r="T18" s="316" t="s">
        <v>85</v>
      </c>
      <c r="U18" s="307">
        <v>16</v>
      </c>
      <c r="V18" s="308" t="s">
        <v>96</v>
      </c>
      <c r="W18" s="309"/>
      <c r="X18" s="316" t="s">
        <v>85</v>
      </c>
    </row>
    <row r="19" spans="1:24">
      <c r="A19" s="312">
        <v>17</v>
      </c>
      <c r="B19" s="313" t="s">
        <v>97</v>
      </c>
      <c r="C19" s="314"/>
      <c r="D19" s="662" t="s">
        <v>85</v>
      </c>
      <c r="E19" s="307">
        <v>17</v>
      </c>
      <c r="F19" s="308" t="s">
        <v>91</v>
      </c>
      <c r="G19" s="309"/>
      <c r="H19" s="311" t="s">
        <v>85</v>
      </c>
      <c r="I19" s="307">
        <v>17</v>
      </c>
      <c r="J19" s="308" t="s">
        <v>96</v>
      </c>
      <c r="K19" s="309"/>
      <c r="L19" s="316" t="s">
        <v>85</v>
      </c>
      <c r="M19" s="307">
        <v>17</v>
      </c>
      <c r="N19" s="308" t="s">
        <v>93</v>
      </c>
      <c r="O19" s="309"/>
      <c r="P19" s="316">
        <v>46.714285714285715</v>
      </c>
      <c r="Q19" s="307">
        <v>17</v>
      </c>
      <c r="R19" s="308" t="s">
        <v>91</v>
      </c>
      <c r="S19" s="309"/>
      <c r="T19" s="316" t="s">
        <v>85</v>
      </c>
      <c r="U19" s="312">
        <v>17</v>
      </c>
      <c r="V19" s="313" t="s">
        <v>92</v>
      </c>
      <c r="W19" s="314"/>
      <c r="X19" s="315" t="s">
        <v>85</v>
      </c>
    </row>
    <row r="20" spans="1:24">
      <c r="A20" s="307">
        <v>18</v>
      </c>
      <c r="B20" s="308" t="s">
        <v>93</v>
      </c>
      <c r="C20" s="309"/>
      <c r="D20" s="310">
        <v>33.714285714285715</v>
      </c>
      <c r="E20" s="307">
        <v>18</v>
      </c>
      <c r="F20" s="308" t="s">
        <v>94</v>
      </c>
      <c r="G20" s="309"/>
      <c r="H20" s="311" t="s">
        <v>85</v>
      </c>
      <c r="I20" s="312">
        <v>18</v>
      </c>
      <c r="J20" s="313" t="s">
        <v>92</v>
      </c>
      <c r="K20" s="314"/>
      <c r="L20" s="315" t="s">
        <v>85</v>
      </c>
      <c r="M20" s="307">
        <v>18</v>
      </c>
      <c r="N20" s="308" t="s">
        <v>95</v>
      </c>
      <c r="O20" s="309"/>
      <c r="P20" s="316" t="s">
        <v>85</v>
      </c>
      <c r="Q20" s="307">
        <v>18</v>
      </c>
      <c r="R20" s="308" t="s">
        <v>94</v>
      </c>
      <c r="S20" s="309"/>
      <c r="T20" s="316" t="s">
        <v>85</v>
      </c>
      <c r="U20" s="312">
        <v>18</v>
      </c>
      <c r="V20" s="313" t="s">
        <v>97</v>
      </c>
      <c r="W20" s="314"/>
      <c r="X20" s="315" t="s">
        <v>85</v>
      </c>
    </row>
    <row r="21" spans="1:24">
      <c r="A21" s="307">
        <v>19</v>
      </c>
      <c r="B21" s="308" t="s">
        <v>95</v>
      </c>
      <c r="C21" s="309"/>
      <c r="D21" s="319" t="s">
        <v>85</v>
      </c>
      <c r="E21" s="307">
        <v>19</v>
      </c>
      <c r="F21" s="308" t="s">
        <v>96</v>
      </c>
      <c r="G21" s="309"/>
      <c r="H21" s="311" t="s">
        <v>85</v>
      </c>
      <c r="I21" s="312">
        <v>19</v>
      </c>
      <c r="J21" s="313" t="s">
        <v>97</v>
      </c>
      <c r="K21" s="314"/>
      <c r="L21" s="315" t="s">
        <v>85</v>
      </c>
      <c r="M21" s="307">
        <v>19</v>
      </c>
      <c r="N21" s="308" t="s">
        <v>91</v>
      </c>
      <c r="O21" s="309"/>
      <c r="P21" s="316" t="s">
        <v>85</v>
      </c>
      <c r="Q21" s="307">
        <v>19</v>
      </c>
      <c r="R21" s="308" t="s">
        <v>96</v>
      </c>
      <c r="S21" s="309"/>
      <c r="T21" s="316" t="s">
        <v>85</v>
      </c>
      <c r="U21" s="307">
        <v>19</v>
      </c>
      <c r="V21" s="308" t="s">
        <v>93</v>
      </c>
      <c r="W21" s="309"/>
      <c r="X21" s="316">
        <v>3.5714285714285716</v>
      </c>
    </row>
    <row r="22" spans="1:24">
      <c r="A22" s="307">
        <v>20</v>
      </c>
      <c r="B22" s="308" t="s">
        <v>91</v>
      </c>
      <c r="C22" s="309"/>
      <c r="D22" s="319" t="s">
        <v>85</v>
      </c>
      <c r="E22" s="312">
        <v>20</v>
      </c>
      <c r="F22" s="313" t="s">
        <v>92</v>
      </c>
      <c r="G22" s="314"/>
      <c r="H22" s="317" t="s">
        <v>85</v>
      </c>
      <c r="I22" s="307">
        <v>20</v>
      </c>
      <c r="J22" s="308" t="s">
        <v>93</v>
      </c>
      <c r="K22" s="309"/>
      <c r="L22" s="316">
        <v>42.714285714285715</v>
      </c>
      <c r="M22" s="307">
        <v>20</v>
      </c>
      <c r="N22" s="308" t="s">
        <v>94</v>
      </c>
      <c r="O22" s="309"/>
      <c r="P22" s="316" t="s">
        <v>85</v>
      </c>
      <c r="Q22" s="312">
        <v>20</v>
      </c>
      <c r="R22" s="313" t="s">
        <v>92</v>
      </c>
      <c r="S22" s="314"/>
      <c r="T22" s="315" t="s">
        <v>85</v>
      </c>
      <c r="U22" s="307">
        <v>20</v>
      </c>
      <c r="V22" s="308" t="s">
        <v>95</v>
      </c>
      <c r="W22" s="309"/>
      <c r="X22" s="316" t="s">
        <v>85</v>
      </c>
    </row>
    <row r="23" spans="1:24">
      <c r="A23" s="307">
        <v>21</v>
      </c>
      <c r="B23" s="308" t="s">
        <v>94</v>
      </c>
      <c r="C23" s="309"/>
      <c r="D23" s="319" t="s">
        <v>85</v>
      </c>
      <c r="E23" s="312">
        <v>21</v>
      </c>
      <c r="F23" s="313" t="s">
        <v>97</v>
      </c>
      <c r="G23" s="314"/>
      <c r="H23" s="317" t="s">
        <v>85</v>
      </c>
      <c r="I23" s="307">
        <v>21</v>
      </c>
      <c r="J23" s="308" t="s">
        <v>95</v>
      </c>
      <c r="K23" s="309"/>
      <c r="L23" s="316" t="s">
        <v>85</v>
      </c>
      <c r="M23" s="307">
        <v>21</v>
      </c>
      <c r="N23" s="308" t="s">
        <v>96</v>
      </c>
      <c r="O23" s="309"/>
      <c r="P23" s="316" t="s">
        <v>85</v>
      </c>
      <c r="Q23" s="312">
        <v>21</v>
      </c>
      <c r="R23" s="313" t="s">
        <v>97</v>
      </c>
      <c r="S23" s="314"/>
      <c r="T23" s="315" t="s">
        <v>85</v>
      </c>
      <c r="U23" s="307">
        <v>21</v>
      </c>
      <c r="V23" s="308" t="s">
        <v>91</v>
      </c>
      <c r="W23" s="309"/>
      <c r="X23" s="316" t="s">
        <v>85</v>
      </c>
    </row>
    <row r="24" spans="1:24">
      <c r="A24" s="307">
        <v>22</v>
      </c>
      <c r="B24" s="308" t="s">
        <v>96</v>
      </c>
      <c r="C24" s="309"/>
      <c r="D24" s="319" t="s">
        <v>85</v>
      </c>
      <c r="E24" s="307">
        <v>22</v>
      </c>
      <c r="F24" s="308" t="s">
        <v>93</v>
      </c>
      <c r="G24" s="309"/>
      <c r="H24" s="311">
        <v>38.714285714285715</v>
      </c>
      <c r="I24" s="307">
        <v>22</v>
      </c>
      <c r="J24" s="308" t="s">
        <v>91</v>
      </c>
      <c r="K24" s="309"/>
      <c r="L24" s="316" t="s">
        <v>85</v>
      </c>
      <c r="M24" s="312">
        <v>22</v>
      </c>
      <c r="N24" s="313" t="s">
        <v>92</v>
      </c>
      <c r="O24" s="314"/>
      <c r="P24" s="315" t="s">
        <v>85</v>
      </c>
      <c r="Q24" s="307">
        <v>22</v>
      </c>
      <c r="R24" s="308" t="s">
        <v>93</v>
      </c>
      <c r="S24" s="309"/>
      <c r="T24" s="316">
        <v>51.714285714285715</v>
      </c>
      <c r="U24" s="307">
        <v>22</v>
      </c>
      <c r="V24" s="308" t="s">
        <v>94</v>
      </c>
      <c r="W24" s="309"/>
      <c r="X24" s="316" t="s">
        <v>85</v>
      </c>
    </row>
    <row r="25" spans="1:24">
      <c r="A25" s="312">
        <v>23</v>
      </c>
      <c r="B25" s="313" t="s">
        <v>92</v>
      </c>
      <c r="C25" s="314"/>
      <c r="D25" s="318" t="s">
        <v>85</v>
      </c>
      <c r="E25" s="307">
        <v>23</v>
      </c>
      <c r="F25" s="308" t="s">
        <v>95</v>
      </c>
      <c r="G25" s="309"/>
      <c r="H25" s="311" t="s">
        <v>85</v>
      </c>
      <c r="I25" s="307">
        <v>23</v>
      </c>
      <c r="J25" s="308" t="s">
        <v>94</v>
      </c>
      <c r="K25" s="309"/>
      <c r="L25" s="316" t="s">
        <v>85</v>
      </c>
      <c r="M25" s="312">
        <v>23</v>
      </c>
      <c r="N25" s="313" t="s">
        <v>97</v>
      </c>
      <c r="O25" s="314"/>
      <c r="P25" s="315" t="s">
        <v>85</v>
      </c>
      <c r="Q25" s="307">
        <v>23</v>
      </c>
      <c r="R25" s="308" t="s">
        <v>95</v>
      </c>
      <c r="S25" s="309"/>
      <c r="T25" s="316" t="s">
        <v>85</v>
      </c>
      <c r="U25" s="307">
        <v>23</v>
      </c>
      <c r="V25" s="308" t="s">
        <v>96</v>
      </c>
      <c r="W25" s="309"/>
      <c r="X25" s="316" t="s">
        <v>85</v>
      </c>
    </row>
    <row r="26" spans="1:24">
      <c r="A26" s="312">
        <v>24</v>
      </c>
      <c r="B26" s="313" t="s">
        <v>97</v>
      </c>
      <c r="C26" s="314"/>
      <c r="D26" s="318" t="s">
        <v>85</v>
      </c>
      <c r="E26" s="307">
        <v>24</v>
      </c>
      <c r="F26" s="308" t="s">
        <v>91</v>
      </c>
      <c r="G26" s="309"/>
      <c r="H26" s="311" t="s">
        <v>85</v>
      </c>
      <c r="I26" s="307">
        <v>24</v>
      </c>
      <c r="J26" s="308" t="s">
        <v>96</v>
      </c>
      <c r="K26" s="309"/>
      <c r="L26" s="316" t="s">
        <v>85</v>
      </c>
      <c r="M26" s="307">
        <v>24</v>
      </c>
      <c r="N26" s="308" t="s">
        <v>93</v>
      </c>
      <c r="O26" s="309"/>
      <c r="P26" s="316">
        <v>47.714285714285715</v>
      </c>
      <c r="Q26" s="307">
        <v>24</v>
      </c>
      <c r="R26" s="308" t="s">
        <v>91</v>
      </c>
      <c r="S26" s="309" t="s">
        <v>80</v>
      </c>
      <c r="T26" s="316"/>
      <c r="U26" s="312"/>
      <c r="V26" s="313" t="s">
        <v>92</v>
      </c>
      <c r="W26" s="314"/>
      <c r="X26" s="315" t="s">
        <v>85</v>
      </c>
    </row>
    <row r="27" spans="1:24">
      <c r="A27" s="307">
        <v>25</v>
      </c>
      <c r="B27" s="308" t="s">
        <v>93</v>
      </c>
      <c r="C27" s="309"/>
      <c r="D27" s="319">
        <v>34.714285714285715</v>
      </c>
      <c r="E27" s="307">
        <v>25</v>
      </c>
      <c r="F27" s="308" t="s">
        <v>94</v>
      </c>
      <c r="G27" s="309"/>
      <c r="H27" s="311" t="s">
        <v>85</v>
      </c>
      <c r="I27" s="312">
        <v>25</v>
      </c>
      <c r="J27" s="313" t="s">
        <v>92</v>
      </c>
      <c r="K27" s="314"/>
      <c r="L27" s="315" t="s">
        <v>85</v>
      </c>
      <c r="M27" s="307">
        <v>25</v>
      </c>
      <c r="N27" s="308" t="s">
        <v>95</v>
      </c>
      <c r="O27" s="309"/>
      <c r="P27" s="316" t="s">
        <v>85</v>
      </c>
      <c r="Q27" s="307">
        <v>25</v>
      </c>
      <c r="R27" s="308" t="s">
        <v>94</v>
      </c>
      <c r="S27" s="309" t="s">
        <v>478</v>
      </c>
      <c r="T27" s="316"/>
      <c r="U27" s="312"/>
      <c r="V27" s="313" t="s">
        <v>97</v>
      </c>
      <c r="W27" s="314"/>
      <c r="X27" s="315" t="s">
        <v>85</v>
      </c>
    </row>
    <row r="28" spans="1:24">
      <c r="A28" s="307">
        <v>26</v>
      </c>
      <c r="B28" s="308" t="s">
        <v>95</v>
      </c>
      <c r="C28" s="309"/>
      <c r="D28" s="319" t="s">
        <v>85</v>
      </c>
      <c r="E28" s="307">
        <v>26</v>
      </c>
      <c r="F28" s="308" t="s">
        <v>96</v>
      </c>
      <c r="G28" s="309"/>
      <c r="H28" s="311" t="s">
        <v>85</v>
      </c>
      <c r="I28" s="312">
        <v>26</v>
      </c>
      <c r="J28" s="313" t="s">
        <v>97</v>
      </c>
      <c r="K28" s="314"/>
      <c r="L28" s="315" t="s">
        <v>85</v>
      </c>
      <c r="M28" s="307">
        <v>26</v>
      </c>
      <c r="N28" s="308" t="s">
        <v>91</v>
      </c>
      <c r="O28" s="309"/>
      <c r="P28" s="316" t="s">
        <v>85</v>
      </c>
      <c r="Q28" s="307">
        <v>26</v>
      </c>
      <c r="R28" s="308" t="s">
        <v>96</v>
      </c>
      <c r="S28" s="309" t="s">
        <v>64</v>
      </c>
      <c r="T28" s="316"/>
      <c r="U28" s="307"/>
      <c r="V28" s="308" t="s">
        <v>93</v>
      </c>
      <c r="W28" s="309"/>
      <c r="X28" s="316">
        <v>4.5714285714285712</v>
      </c>
    </row>
    <row r="29" spans="1:24">
      <c r="A29" s="307">
        <v>27</v>
      </c>
      <c r="B29" s="308" t="s">
        <v>91</v>
      </c>
      <c r="C29" s="309"/>
      <c r="D29" s="319" t="s">
        <v>85</v>
      </c>
      <c r="E29" s="312">
        <v>27</v>
      </c>
      <c r="F29" s="313" t="s">
        <v>92</v>
      </c>
      <c r="G29" s="314"/>
      <c r="H29" s="317" t="s">
        <v>85</v>
      </c>
      <c r="I29" s="307">
        <v>27</v>
      </c>
      <c r="J29" s="308" t="s">
        <v>93</v>
      </c>
      <c r="K29" s="309"/>
      <c r="L29" s="316">
        <v>43.714285714285715</v>
      </c>
      <c r="M29" s="307">
        <v>27</v>
      </c>
      <c r="N29" s="308" t="s">
        <v>94</v>
      </c>
      <c r="O29" s="309"/>
      <c r="P29" s="316" t="s">
        <v>85</v>
      </c>
      <c r="Q29" s="312">
        <v>27</v>
      </c>
      <c r="R29" s="313" t="s">
        <v>92</v>
      </c>
      <c r="S29" s="314"/>
      <c r="T29" s="315" t="s">
        <v>85</v>
      </c>
      <c r="U29" s="307">
        <v>27</v>
      </c>
      <c r="V29" s="308" t="s">
        <v>95</v>
      </c>
      <c r="W29" s="309"/>
      <c r="X29" s="316" t="s">
        <v>85</v>
      </c>
    </row>
    <row r="30" spans="1:24">
      <c r="A30" s="307">
        <v>28</v>
      </c>
      <c r="B30" s="308" t="s">
        <v>94</v>
      </c>
      <c r="C30" s="309"/>
      <c r="D30" s="319" t="s">
        <v>85</v>
      </c>
      <c r="E30" s="312">
        <v>28</v>
      </c>
      <c r="F30" s="313" t="s">
        <v>97</v>
      </c>
      <c r="G30" s="314"/>
      <c r="H30" s="317" t="s">
        <v>85</v>
      </c>
      <c r="I30" s="307">
        <v>28</v>
      </c>
      <c r="J30" s="308" t="s">
        <v>95</v>
      </c>
      <c r="K30" s="309"/>
      <c r="L30" s="316" t="s">
        <v>85</v>
      </c>
      <c r="M30" s="307">
        <v>28</v>
      </c>
      <c r="N30" s="308" t="s">
        <v>96</v>
      </c>
      <c r="O30" s="309"/>
      <c r="P30" s="316" t="s">
        <v>85</v>
      </c>
      <c r="Q30" s="312">
        <v>28</v>
      </c>
      <c r="R30" s="313" t="s">
        <v>97</v>
      </c>
      <c r="S30" s="314"/>
      <c r="T30" s="315" t="s">
        <v>85</v>
      </c>
      <c r="U30" s="307">
        <v>28</v>
      </c>
      <c r="V30" s="308" t="s">
        <v>91</v>
      </c>
      <c r="W30" s="309"/>
      <c r="X30" s="316" t="s">
        <v>85</v>
      </c>
    </row>
    <row r="31" spans="1:24">
      <c r="A31" s="307">
        <v>29</v>
      </c>
      <c r="B31" s="308" t="s">
        <v>96</v>
      </c>
      <c r="C31" s="309"/>
      <c r="D31" s="310" t="s">
        <v>85</v>
      </c>
      <c r="E31" s="307">
        <v>29</v>
      </c>
      <c r="F31" s="308" t="s">
        <v>93</v>
      </c>
      <c r="G31" s="309"/>
      <c r="H31" s="311">
        <v>39.714285714285715</v>
      </c>
      <c r="I31" s="307">
        <v>29</v>
      </c>
      <c r="J31" s="308" t="s">
        <v>91</v>
      </c>
      <c r="K31" s="309"/>
      <c r="L31" s="316" t="s">
        <v>85</v>
      </c>
      <c r="M31" s="312">
        <v>29</v>
      </c>
      <c r="N31" s="313" t="s">
        <v>92</v>
      </c>
      <c r="O31" s="314"/>
      <c r="P31" s="315" t="s">
        <v>85</v>
      </c>
      <c r="Q31" s="307">
        <v>29</v>
      </c>
      <c r="R31" s="308" t="s">
        <v>93</v>
      </c>
      <c r="S31" s="309"/>
      <c r="T31" s="316">
        <v>52.714285714285715</v>
      </c>
      <c r="U31" s="307">
        <v>29</v>
      </c>
      <c r="V31" s="308" t="s">
        <v>94</v>
      </c>
      <c r="W31" s="309"/>
      <c r="X31" s="316" t="s">
        <v>85</v>
      </c>
    </row>
    <row r="32" spans="1:24">
      <c r="A32" s="312">
        <v>30</v>
      </c>
      <c r="B32" s="313" t="s">
        <v>92</v>
      </c>
      <c r="C32" s="314"/>
      <c r="D32" s="662" t="s">
        <v>85</v>
      </c>
      <c r="E32" s="307">
        <v>30</v>
      </c>
      <c r="F32" s="308" t="s">
        <v>95</v>
      </c>
      <c r="G32" s="309"/>
      <c r="H32" s="311" t="s">
        <v>85</v>
      </c>
      <c r="I32" s="307">
        <v>30</v>
      </c>
      <c r="J32" s="308" t="s">
        <v>94</v>
      </c>
      <c r="K32" s="309"/>
      <c r="L32" s="316" t="s">
        <v>85</v>
      </c>
      <c r="M32" s="312">
        <v>30</v>
      </c>
      <c r="N32" s="313" t="s">
        <v>97</v>
      </c>
      <c r="O32" s="314"/>
      <c r="P32" s="315" t="s">
        <v>85</v>
      </c>
      <c r="Q32" s="307">
        <v>30</v>
      </c>
      <c r="R32" s="308" t="s">
        <v>95</v>
      </c>
      <c r="S32" s="309"/>
      <c r="T32" s="316">
        <v>1</v>
      </c>
      <c r="U32" s="307">
        <v>30</v>
      </c>
      <c r="V32" s="308" t="s">
        <v>96</v>
      </c>
      <c r="W32" s="309"/>
      <c r="X32" s="316" t="s">
        <v>85</v>
      </c>
    </row>
    <row r="33" spans="1:24">
      <c r="A33" s="312">
        <v>31</v>
      </c>
      <c r="B33" s="313" t="s">
        <v>97</v>
      </c>
      <c r="C33" s="314"/>
      <c r="D33" s="662" t="s">
        <v>85</v>
      </c>
      <c r="E33" s="109"/>
      <c r="F33" s="110"/>
      <c r="G33" s="111"/>
      <c r="H33" s="320"/>
      <c r="I33" s="321">
        <v>31</v>
      </c>
      <c r="J33" s="322" t="s">
        <v>96</v>
      </c>
      <c r="K33" s="323"/>
      <c r="L33" s="324" t="s">
        <v>85</v>
      </c>
      <c r="M33" s="109"/>
      <c r="N33" s="110"/>
      <c r="O33" s="111"/>
      <c r="P33" s="112"/>
      <c r="Q33" s="321">
        <v>31</v>
      </c>
      <c r="R33" s="322" t="s">
        <v>91</v>
      </c>
      <c r="S33" s="664" t="s">
        <v>79</v>
      </c>
      <c r="T33" s="324"/>
      <c r="U33" s="325"/>
      <c r="V33" s="326" t="s">
        <v>92</v>
      </c>
      <c r="W33" s="328"/>
      <c r="X33" s="327" t="s">
        <v>85</v>
      </c>
    </row>
  </sheetData>
  <mergeCells count="1">
    <mergeCell ref="A1:X1"/>
  </mergeCells>
  <conditionalFormatting sqref="B3:B33">
    <cfRule type="expression" dxfId="13" priority="1" stopIfTrue="1">
      <formula>OR($D3="Skema 1")</formula>
    </cfRule>
    <cfRule type="expression" dxfId="12" priority="2" stopIfTrue="1">
      <formula>OR($D3="Skema 2")</formula>
    </cfRule>
    <cfRule type="expression" dxfId="11" priority="3" stopIfTrue="1">
      <formula>OR($D3="Skema 3")</formula>
    </cfRule>
    <cfRule type="expression" dxfId="10" priority="4">
      <formula>OR($D3="Ikke relevant")</formula>
    </cfRule>
    <cfRule type="expression" dxfId="9" priority="5">
      <formula>OR($D3="pæd.dag")</formula>
    </cfRule>
    <cfRule type="expression" dxfId="8" priority="6">
      <formula>OR($D3="nul-dag")</formula>
    </cfRule>
    <cfRule type="expression" dxfId="7" priority="7">
      <formula>OR($D3="SH-dag")</formula>
    </cfRule>
    <cfRule type="expression" dxfId="6" priority="8">
      <formula>OR($D3="ekskursion")</formula>
    </cfRule>
    <cfRule type="expression" dxfId="5" priority="9">
      <formula>OR($D3="lejrskole")</formula>
    </cfRule>
    <cfRule type="expression" dxfId="4" priority="10">
      <formula>OR($D3="emnedag")</formula>
    </cfRule>
    <cfRule type="expression" dxfId="3" priority="11">
      <formula>OR($D3="fagdag")</formula>
    </cfRule>
    <cfRule type="expression" dxfId="2" priority="12">
      <formula>OR($D3="feriedag")</formula>
    </cfRule>
    <cfRule type="expression" dxfId="1" priority="13">
      <formula>OR($D3="weekend")</formula>
    </cfRule>
    <cfRule type="expression" dxfId="0" priority="14" stopIfTrue="1">
      <formula>OR($D3="Skema 4")</formula>
    </cfRule>
  </conditionalFormatting>
  <pageMargins left="0.7" right="0.7" top="0.75" bottom="0.75" header="0.3" footer="0.3"/>
  <pageSetup paperSize="9" scale="69" orientation="landscape"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7A7C-DE79-4046-9189-EFCC27233F9E}">
  <sheetPr>
    <pageSetUpPr fitToPage="1"/>
  </sheetPr>
  <dimension ref="A1:X33"/>
  <sheetViews>
    <sheetView workbookViewId="0">
      <selection activeCell="A2" sqref="A2"/>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179" t="str">
        <f>'TOMT ÅR'!F1</f>
        <v>Årskalender for  - skoleåret 2025-2026</v>
      </c>
      <c r="B1" s="1180"/>
      <c r="C1" s="1180"/>
      <c r="D1" s="1180"/>
      <c r="E1" s="1180"/>
      <c r="F1" s="1180"/>
      <c r="G1" s="1180"/>
      <c r="H1" s="1180"/>
      <c r="I1" s="1180"/>
      <c r="J1" s="1180"/>
      <c r="K1" s="1180"/>
      <c r="L1" s="1180"/>
      <c r="M1" s="1180"/>
      <c r="N1" s="1180"/>
      <c r="O1" s="1180"/>
      <c r="P1" s="1180"/>
      <c r="Q1" s="1180"/>
      <c r="R1" s="1180"/>
      <c r="S1" s="1180"/>
      <c r="T1" s="1180"/>
      <c r="U1" s="1180"/>
      <c r="V1" s="1180"/>
      <c r="W1" s="1180"/>
      <c r="X1" s="1181"/>
    </row>
    <row r="2" spans="1:24" ht="18">
      <c r="A2" s="187" t="s">
        <v>65</v>
      </c>
      <c r="B2" s="184"/>
      <c r="C2" s="185"/>
      <c r="D2" s="186"/>
      <c r="E2" s="183" t="s">
        <v>66</v>
      </c>
      <c r="F2" s="184"/>
      <c r="G2" s="185"/>
      <c r="H2" s="186"/>
      <c r="I2" s="183" t="s">
        <v>67</v>
      </c>
      <c r="J2" s="184"/>
      <c r="K2" s="185"/>
      <c r="L2" s="186"/>
      <c r="M2" s="183" t="s">
        <v>68</v>
      </c>
      <c r="N2" s="184"/>
      <c r="O2" s="185"/>
      <c r="P2" s="186"/>
      <c r="Q2" s="183" t="s">
        <v>69</v>
      </c>
      <c r="R2" s="184"/>
      <c r="S2" s="185"/>
      <c r="T2" s="186"/>
      <c r="U2" s="183" t="s">
        <v>70</v>
      </c>
      <c r="V2" s="184"/>
      <c r="W2" s="185"/>
      <c r="X2" s="186"/>
    </row>
    <row r="3" spans="1:24">
      <c r="A3" s="312">
        <v>1</v>
      </c>
      <c r="B3" s="313" t="s">
        <v>97</v>
      </c>
      <c r="C3" s="314"/>
      <c r="D3" s="317" t="s">
        <v>85</v>
      </c>
      <c r="E3" s="312">
        <v>1</v>
      </c>
      <c r="F3" s="313" t="s">
        <v>97</v>
      </c>
      <c r="G3" s="314"/>
      <c r="H3" s="315" t="s">
        <v>85</v>
      </c>
      <c r="I3" s="307">
        <v>1</v>
      </c>
      <c r="J3" s="308" t="s">
        <v>91</v>
      </c>
      <c r="K3" s="309"/>
      <c r="L3" s="311" t="s">
        <v>85</v>
      </c>
      <c r="M3" s="307">
        <v>1</v>
      </c>
      <c r="N3" s="308" t="s">
        <v>96</v>
      </c>
      <c r="O3" s="309"/>
      <c r="P3" s="316" t="s">
        <v>85</v>
      </c>
      <c r="Q3" s="307">
        <v>1</v>
      </c>
      <c r="R3" s="308" t="s">
        <v>93</v>
      </c>
      <c r="S3" s="309"/>
      <c r="T3" s="311">
        <v>22.571428571428573</v>
      </c>
      <c r="U3" s="307">
        <v>1</v>
      </c>
      <c r="V3" s="308" t="s">
        <v>91</v>
      </c>
      <c r="W3" s="309"/>
      <c r="X3" s="316" t="s">
        <v>85</v>
      </c>
    </row>
    <row r="4" spans="1:24">
      <c r="A4" s="307">
        <v>2</v>
      </c>
      <c r="B4" s="308" t="s">
        <v>93</v>
      </c>
      <c r="C4" s="309"/>
      <c r="D4" s="311">
        <v>5.5714285714285712</v>
      </c>
      <c r="E4" s="307">
        <v>2</v>
      </c>
      <c r="F4" s="308" t="s">
        <v>93</v>
      </c>
      <c r="G4" s="309"/>
      <c r="H4" s="316">
        <v>9.5714285714285712</v>
      </c>
      <c r="I4" s="307">
        <v>2</v>
      </c>
      <c r="J4" s="308" t="s">
        <v>94</v>
      </c>
      <c r="K4" s="309" t="s">
        <v>71</v>
      </c>
      <c r="L4" s="311" t="s">
        <v>85</v>
      </c>
      <c r="M4" s="312">
        <v>2</v>
      </c>
      <c r="N4" s="313" t="s">
        <v>92</v>
      </c>
      <c r="O4" s="314"/>
      <c r="P4" s="315" t="s">
        <v>85</v>
      </c>
      <c r="Q4" s="307">
        <v>2</v>
      </c>
      <c r="R4" s="308" t="s">
        <v>95</v>
      </c>
      <c r="S4" s="309"/>
      <c r="T4" s="311" t="s">
        <v>85</v>
      </c>
      <c r="U4" s="307">
        <v>2</v>
      </c>
      <c r="V4" s="308" t="s">
        <v>94</v>
      </c>
      <c r="W4" s="309"/>
      <c r="X4" s="316" t="s">
        <v>85</v>
      </c>
    </row>
    <row r="5" spans="1:24">
      <c r="A5" s="307">
        <v>3</v>
      </c>
      <c r="B5" s="308" t="s">
        <v>95</v>
      </c>
      <c r="C5" s="309"/>
      <c r="D5" s="311" t="s">
        <v>85</v>
      </c>
      <c r="E5" s="307">
        <v>3</v>
      </c>
      <c r="F5" s="308" t="s">
        <v>95</v>
      </c>
      <c r="G5" s="309"/>
      <c r="H5" s="316" t="s">
        <v>85</v>
      </c>
      <c r="I5" s="307">
        <v>3</v>
      </c>
      <c r="J5" s="308" t="s">
        <v>96</v>
      </c>
      <c r="K5" s="309" t="s">
        <v>101</v>
      </c>
      <c r="L5" s="311" t="s">
        <v>85</v>
      </c>
      <c r="M5" s="312">
        <v>3</v>
      </c>
      <c r="N5" s="313" t="s">
        <v>97</v>
      </c>
      <c r="O5" s="314"/>
      <c r="P5" s="315" t="s">
        <v>85</v>
      </c>
      <c r="Q5" s="307">
        <v>3</v>
      </c>
      <c r="R5" s="308" t="s">
        <v>91</v>
      </c>
      <c r="S5" s="309"/>
      <c r="T5" s="311" t="s">
        <v>85</v>
      </c>
      <c r="U5" s="307">
        <v>3</v>
      </c>
      <c r="V5" s="308" t="s">
        <v>96</v>
      </c>
      <c r="W5" s="309"/>
      <c r="X5" s="316" t="s">
        <v>85</v>
      </c>
    </row>
    <row r="6" spans="1:24">
      <c r="A6" s="307">
        <v>4</v>
      </c>
      <c r="B6" s="308" t="s">
        <v>91</v>
      </c>
      <c r="C6" s="309"/>
      <c r="D6" s="311" t="s">
        <v>85</v>
      </c>
      <c r="E6" s="307">
        <v>4</v>
      </c>
      <c r="F6" s="308" t="s">
        <v>91</v>
      </c>
      <c r="G6" s="309"/>
      <c r="H6" s="316" t="s">
        <v>85</v>
      </c>
      <c r="I6" s="312">
        <v>4</v>
      </c>
      <c r="J6" s="313" t="s">
        <v>92</v>
      </c>
      <c r="K6" s="314"/>
      <c r="L6" s="317" t="s">
        <v>85</v>
      </c>
      <c r="M6" s="307">
        <v>4</v>
      </c>
      <c r="N6" s="308" t="s">
        <v>93</v>
      </c>
      <c r="O6" s="309"/>
      <c r="P6" s="316">
        <v>18.571428571428573</v>
      </c>
      <c r="Q6" s="307">
        <v>4</v>
      </c>
      <c r="R6" s="308" t="s">
        <v>94</v>
      </c>
      <c r="S6" s="309"/>
      <c r="T6" s="311" t="s">
        <v>85</v>
      </c>
      <c r="U6" s="312">
        <v>4</v>
      </c>
      <c r="V6" s="313" t="s">
        <v>92</v>
      </c>
      <c r="W6" s="314"/>
      <c r="X6" s="315" t="s">
        <v>85</v>
      </c>
    </row>
    <row r="7" spans="1:24">
      <c r="A7" s="307">
        <v>5</v>
      </c>
      <c r="B7" s="308" t="s">
        <v>94</v>
      </c>
      <c r="C7" s="309"/>
      <c r="D7" s="311" t="s">
        <v>85</v>
      </c>
      <c r="E7" s="307">
        <v>5</v>
      </c>
      <c r="F7" s="308" t="s">
        <v>94</v>
      </c>
      <c r="G7" s="309"/>
      <c r="H7" s="316" t="s">
        <v>85</v>
      </c>
      <c r="I7" s="312">
        <v>5</v>
      </c>
      <c r="J7" s="313" t="s">
        <v>97</v>
      </c>
      <c r="K7" s="314" t="s">
        <v>74</v>
      </c>
      <c r="L7" s="317" t="s">
        <v>85</v>
      </c>
      <c r="M7" s="307">
        <v>5</v>
      </c>
      <c r="N7" s="308" t="s">
        <v>95</v>
      </c>
      <c r="O7" s="309"/>
      <c r="P7" s="316" t="s">
        <v>85</v>
      </c>
      <c r="Q7" s="307">
        <v>5</v>
      </c>
      <c r="R7" s="308" t="s">
        <v>96</v>
      </c>
      <c r="S7" s="309" t="s">
        <v>113</v>
      </c>
      <c r="T7" s="311" t="s">
        <v>85</v>
      </c>
      <c r="U7" s="312">
        <v>5</v>
      </c>
      <c r="V7" s="313" t="s">
        <v>97</v>
      </c>
      <c r="W7" s="314"/>
      <c r="X7" s="315" t="s">
        <v>85</v>
      </c>
    </row>
    <row r="8" spans="1:24">
      <c r="A8" s="307">
        <v>6</v>
      </c>
      <c r="B8" s="308" t="s">
        <v>96</v>
      </c>
      <c r="C8" s="309"/>
      <c r="D8" s="311" t="s">
        <v>85</v>
      </c>
      <c r="E8" s="307">
        <v>6</v>
      </c>
      <c r="F8" s="308" t="s">
        <v>96</v>
      </c>
      <c r="G8" s="309"/>
      <c r="H8" s="316" t="s">
        <v>85</v>
      </c>
      <c r="I8" s="307">
        <v>6</v>
      </c>
      <c r="J8" s="308" t="s">
        <v>93</v>
      </c>
      <c r="K8" s="309" t="s">
        <v>267</v>
      </c>
      <c r="L8" s="311">
        <v>14.571428571428571</v>
      </c>
      <c r="M8" s="307">
        <v>6</v>
      </c>
      <c r="N8" s="308" t="s">
        <v>91</v>
      </c>
      <c r="O8" s="309"/>
      <c r="P8" s="316" t="s">
        <v>85</v>
      </c>
      <c r="Q8" s="312">
        <v>6</v>
      </c>
      <c r="R8" s="313" t="s">
        <v>92</v>
      </c>
      <c r="S8" s="314"/>
      <c r="T8" s="317" t="s">
        <v>85</v>
      </c>
      <c r="U8" s="307">
        <v>6</v>
      </c>
      <c r="V8" s="308" t="s">
        <v>93</v>
      </c>
      <c r="W8" s="309"/>
      <c r="X8" s="316">
        <v>27.571428571428573</v>
      </c>
    </row>
    <row r="9" spans="1:24">
      <c r="A9" s="312">
        <v>7</v>
      </c>
      <c r="B9" s="313" t="s">
        <v>92</v>
      </c>
      <c r="C9" s="314"/>
      <c r="D9" s="317" t="s">
        <v>85</v>
      </c>
      <c r="E9" s="312">
        <v>7</v>
      </c>
      <c r="F9" s="313" t="s">
        <v>92</v>
      </c>
      <c r="G9" s="314"/>
      <c r="H9" s="315" t="s">
        <v>85</v>
      </c>
      <c r="I9" s="307">
        <v>7</v>
      </c>
      <c r="J9" s="308" t="s">
        <v>95</v>
      </c>
      <c r="K9" s="309"/>
      <c r="L9" s="311" t="s">
        <v>85</v>
      </c>
      <c r="M9" s="307">
        <v>7</v>
      </c>
      <c r="N9" s="308" t="s">
        <v>94</v>
      </c>
      <c r="O9" s="309"/>
      <c r="P9" s="316" t="s">
        <v>85</v>
      </c>
      <c r="Q9" s="312">
        <v>7</v>
      </c>
      <c r="R9" s="313" t="s">
        <v>97</v>
      </c>
      <c r="S9" s="314"/>
      <c r="T9" s="317" t="s">
        <v>85</v>
      </c>
      <c r="U9" s="307">
        <v>7</v>
      </c>
      <c r="V9" s="308" t="s">
        <v>95</v>
      </c>
      <c r="W9" s="309"/>
      <c r="X9" s="316" t="s">
        <v>85</v>
      </c>
    </row>
    <row r="10" spans="1:24">
      <c r="A10" s="312">
        <v>8</v>
      </c>
      <c r="B10" s="313" t="s">
        <v>97</v>
      </c>
      <c r="C10" s="314"/>
      <c r="D10" s="317" t="s">
        <v>85</v>
      </c>
      <c r="E10" s="312">
        <v>8</v>
      </c>
      <c r="F10" s="313" t="s">
        <v>97</v>
      </c>
      <c r="G10" s="314"/>
      <c r="H10" s="315" t="s">
        <v>85</v>
      </c>
      <c r="I10" s="307">
        <v>8</v>
      </c>
      <c r="J10" s="308" t="s">
        <v>91</v>
      </c>
      <c r="K10" s="309"/>
      <c r="L10" s="311" t="s">
        <v>85</v>
      </c>
      <c r="M10" s="307">
        <v>8</v>
      </c>
      <c r="N10" s="308" t="s">
        <v>96</v>
      </c>
      <c r="O10" s="309"/>
      <c r="P10" s="316" t="s">
        <v>85</v>
      </c>
      <c r="Q10" s="307">
        <v>8</v>
      </c>
      <c r="R10" s="308" t="s">
        <v>93</v>
      </c>
      <c r="S10" s="309"/>
      <c r="T10" s="311">
        <v>23.571428571428573</v>
      </c>
      <c r="U10" s="307">
        <v>8</v>
      </c>
      <c r="V10" s="308" t="s">
        <v>91</v>
      </c>
      <c r="W10" s="309"/>
      <c r="X10" s="316" t="s">
        <v>85</v>
      </c>
    </row>
    <row r="11" spans="1:24">
      <c r="A11" s="307">
        <v>9</v>
      </c>
      <c r="B11" s="308" t="s">
        <v>93</v>
      </c>
      <c r="C11" s="309"/>
      <c r="D11" s="311">
        <v>6.5714285714285712</v>
      </c>
      <c r="E11" s="307">
        <v>9</v>
      </c>
      <c r="F11" s="308" t="s">
        <v>93</v>
      </c>
      <c r="G11" s="309"/>
      <c r="H11" s="316">
        <v>10.571428571428571</v>
      </c>
      <c r="I11" s="307">
        <v>9</v>
      </c>
      <c r="J11" s="308" t="s">
        <v>94</v>
      </c>
      <c r="K11" s="309"/>
      <c r="L11" s="311" t="s">
        <v>85</v>
      </c>
      <c r="M11" s="312">
        <v>9</v>
      </c>
      <c r="N11" s="313" t="s">
        <v>92</v>
      </c>
      <c r="O11" s="693"/>
      <c r="P11" s="315" t="s">
        <v>85</v>
      </c>
      <c r="Q11" s="307">
        <v>9</v>
      </c>
      <c r="R11" s="308" t="s">
        <v>95</v>
      </c>
      <c r="S11" s="309"/>
      <c r="T11" s="311" t="s">
        <v>85</v>
      </c>
      <c r="U11" s="307">
        <v>9</v>
      </c>
      <c r="V11" s="308" t="s">
        <v>94</v>
      </c>
      <c r="W11" s="309"/>
      <c r="X11" s="316" t="s">
        <v>85</v>
      </c>
    </row>
    <row r="12" spans="1:24">
      <c r="A12" s="307">
        <v>10</v>
      </c>
      <c r="B12" s="308" t="s">
        <v>95</v>
      </c>
      <c r="C12" s="309"/>
      <c r="D12" s="311" t="s">
        <v>85</v>
      </c>
      <c r="E12" s="307">
        <v>10</v>
      </c>
      <c r="F12" s="308" t="s">
        <v>95</v>
      </c>
      <c r="G12" s="309"/>
      <c r="H12" s="316" t="s">
        <v>85</v>
      </c>
      <c r="I12" s="307">
        <v>10</v>
      </c>
      <c r="J12" s="308" t="s">
        <v>96</v>
      </c>
      <c r="K12" s="309"/>
      <c r="L12" s="311" t="s">
        <v>85</v>
      </c>
      <c r="M12" s="312">
        <v>10</v>
      </c>
      <c r="N12" s="313" t="s">
        <v>97</v>
      </c>
      <c r="O12" s="314"/>
      <c r="P12" s="315" t="s">
        <v>85</v>
      </c>
      <c r="Q12" s="307">
        <v>10</v>
      </c>
      <c r="R12" s="308" t="s">
        <v>91</v>
      </c>
      <c r="S12" s="309"/>
      <c r="T12" s="311" t="s">
        <v>85</v>
      </c>
      <c r="U12" s="307">
        <v>10</v>
      </c>
      <c r="V12" s="308" t="s">
        <v>96</v>
      </c>
      <c r="W12" s="309"/>
      <c r="X12" s="316" t="s">
        <v>85</v>
      </c>
    </row>
    <row r="13" spans="1:24">
      <c r="A13" s="307">
        <v>11</v>
      </c>
      <c r="B13" s="308" t="s">
        <v>91</v>
      </c>
      <c r="C13" s="309"/>
      <c r="D13" s="311" t="s">
        <v>85</v>
      </c>
      <c r="E13" s="307">
        <v>11</v>
      </c>
      <c r="F13" s="308" t="s">
        <v>91</v>
      </c>
      <c r="G13" s="309"/>
      <c r="H13" s="316" t="s">
        <v>85</v>
      </c>
      <c r="I13" s="312">
        <v>11</v>
      </c>
      <c r="J13" s="313" t="s">
        <v>92</v>
      </c>
      <c r="K13" s="314"/>
      <c r="L13" s="317" t="s">
        <v>85</v>
      </c>
      <c r="M13" s="307">
        <v>11</v>
      </c>
      <c r="N13" s="308" t="s">
        <v>93</v>
      </c>
      <c r="O13" s="309"/>
      <c r="P13" s="316">
        <v>19.571428571428573</v>
      </c>
      <c r="Q13" s="307">
        <v>11</v>
      </c>
      <c r="R13" s="308" t="s">
        <v>94</v>
      </c>
      <c r="S13" s="309"/>
      <c r="T13" s="311" t="s">
        <v>85</v>
      </c>
      <c r="U13" s="312">
        <v>11</v>
      </c>
      <c r="V13" s="313" t="s">
        <v>92</v>
      </c>
      <c r="W13" s="314"/>
      <c r="X13" s="315" t="s">
        <v>85</v>
      </c>
    </row>
    <row r="14" spans="1:24">
      <c r="A14" s="307">
        <v>12</v>
      </c>
      <c r="B14" s="308" t="s">
        <v>94</v>
      </c>
      <c r="C14" s="309"/>
      <c r="D14" s="311" t="s">
        <v>85</v>
      </c>
      <c r="E14" s="307">
        <v>12</v>
      </c>
      <c r="F14" s="308" t="s">
        <v>94</v>
      </c>
      <c r="G14" s="309"/>
      <c r="H14" s="316" t="s">
        <v>85</v>
      </c>
      <c r="I14" s="312">
        <v>12</v>
      </c>
      <c r="J14" s="313" t="s">
        <v>97</v>
      </c>
      <c r="K14" s="314"/>
      <c r="L14" s="317" t="s">
        <v>85</v>
      </c>
      <c r="M14" s="307">
        <v>12</v>
      </c>
      <c r="N14" s="308" t="s">
        <v>95</v>
      </c>
      <c r="O14" s="309"/>
      <c r="P14" s="316" t="s">
        <v>85</v>
      </c>
      <c r="Q14" s="307">
        <v>12</v>
      </c>
      <c r="R14" s="308" t="s">
        <v>96</v>
      </c>
      <c r="S14" s="309"/>
      <c r="T14" s="311" t="s">
        <v>85</v>
      </c>
      <c r="U14" s="312">
        <v>12</v>
      </c>
      <c r="V14" s="313" t="s">
        <v>97</v>
      </c>
      <c r="W14" s="314"/>
      <c r="X14" s="315" t="s">
        <v>85</v>
      </c>
    </row>
    <row r="15" spans="1:24">
      <c r="A15" s="307">
        <v>13</v>
      </c>
      <c r="B15" s="308" t="s">
        <v>96</v>
      </c>
      <c r="C15" s="309"/>
      <c r="D15" s="311" t="s">
        <v>85</v>
      </c>
      <c r="E15" s="307">
        <v>13</v>
      </c>
      <c r="F15" s="308" t="s">
        <v>96</v>
      </c>
      <c r="G15" s="309"/>
      <c r="H15" s="316" t="s">
        <v>85</v>
      </c>
      <c r="I15" s="307">
        <v>13</v>
      </c>
      <c r="J15" s="308" t="s">
        <v>93</v>
      </c>
      <c r="K15" s="309"/>
      <c r="L15" s="311">
        <v>15.571428571428571</v>
      </c>
      <c r="M15" s="307">
        <v>13</v>
      </c>
      <c r="N15" s="308" t="s">
        <v>91</v>
      </c>
      <c r="O15" s="309"/>
      <c r="P15" s="316" t="s">
        <v>85</v>
      </c>
      <c r="Q15" s="312">
        <v>13</v>
      </c>
      <c r="R15" s="313" t="s">
        <v>92</v>
      </c>
      <c r="S15" s="314"/>
      <c r="T15" s="317" t="s">
        <v>85</v>
      </c>
      <c r="U15" s="307">
        <v>13</v>
      </c>
      <c r="V15" s="308" t="s">
        <v>93</v>
      </c>
      <c r="W15" s="309"/>
      <c r="X15" s="316">
        <v>28.571428571428573</v>
      </c>
    </row>
    <row r="16" spans="1:24">
      <c r="A16" s="312">
        <v>14</v>
      </c>
      <c r="B16" s="313" t="s">
        <v>92</v>
      </c>
      <c r="C16" s="314"/>
      <c r="D16" s="317" t="s">
        <v>85</v>
      </c>
      <c r="E16" s="312">
        <v>14</v>
      </c>
      <c r="F16" s="313" t="s">
        <v>92</v>
      </c>
      <c r="G16" s="314"/>
      <c r="H16" s="315" t="s">
        <v>85</v>
      </c>
      <c r="I16" s="307">
        <v>14</v>
      </c>
      <c r="J16" s="308" t="s">
        <v>95</v>
      </c>
      <c r="K16" s="309"/>
      <c r="L16" s="311" t="s">
        <v>85</v>
      </c>
      <c r="M16" s="307">
        <v>14</v>
      </c>
      <c r="N16" s="308" t="s">
        <v>94</v>
      </c>
      <c r="O16" s="694" t="s">
        <v>268</v>
      </c>
      <c r="P16" s="316" t="s">
        <v>85</v>
      </c>
      <c r="Q16" s="312">
        <v>14</v>
      </c>
      <c r="R16" s="313" t="s">
        <v>97</v>
      </c>
      <c r="S16" s="314"/>
      <c r="T16" s="317" t="s">
        <v>85</v>
      </c>
      <c r="U16" s="307">
        <v>14</v>
      </c>
      <c r="V16" s="308" t="s">
        <v>95</v>
      </c>
      <c r="W16" s="309"/>
      <c r="X16" s="316" t="s">
        <v>85</v>
      </c>
    </row>
    <row r="17" spans="1:24">
      <c r="A17" s="312">
        <v>15</v>
      </c>
      <c r="B17" s="313" t="s">
        <v>97</v>
      </c>
      <c r="C17" s="314"/>
      <c r="D17" s="317" t="s">
        <v>85</v>
      </c>
      <c r="E17" s="312">
        <v>15</v>
      </c>
      <c r="F17" s="313" t="s">
        <v>97</v>
      </c>
      <c r="G17" s="314"/>
      <c r="H17" s="315" t="s">
        <v>85</v>
      </c>
      <c r="I17" s="307">
        <v>15</v>
      </c>
      <c r="J17" s="308" t="s">
        <v>91</v>
      </c>
      <c r="K17" s="309"/>
      <c r="L17" s="311" t="s">
        <v>85</v>
      </c>
      <c r="M17" s="307">
        <v>15</v>
      </c>
      <c r="N17" s="308" t="s">
        <v>96</v>
      </c>
      <c r="O17" s="309"/>
      <c r="P17" s="316" t="s">
        <v>85</v>
      </c>
      <c r="Q17" s="307">
        <v>15</v>
      </c>
      <c r="R17" s="308" t="s">
        <v>93</v>
      </c>
      <c r="S17" s="309"/>
      <c r="T17" s="311">
        <v>24.571428571428573</v>
      </c>
      <c r="U17" s="307">
        <v>15</v>
      </c>
      <c r="V17" s="308" t="s">
        <v>91</v>
      </c>
      <c r="W17" s="309"/>
      <c r="X17" s="316" t="s">
        <v>85</v>
      </c>
    </row>
    <row r="18" spans="1:24">
      <c r="A18" s="307">
        <v>16</v>
      </c>
      <c r="B18" s="308" t="s">
        <v>93</v>
      </c>
      <c r="C18" s="309"/>
      <c r="D18" s="311">
        <v>7.5714285714285712</v>
      </c>
      <c r="E18" s="307">
        <v>16</v>
      </c>
      <c r="F18" s="308" t="s">
        <v>93</v>
      </c>
      <c r="G18" s="309"/>
      <c r="H18" s="316">
        <v>11.571428571428571</v>
      </c>
      <c r="I18" s="307">
        <v>16</v>
      </c>
      <c r="J18" s="308" t="s">
        <v>94</v>
      </c>
      <c r="K18" s="309"/>
      <c r="L18" s="311" t="s">
        <v>85</v>
      </c>
      <c r="M18" s="312">
        <v>16</v>
      </c>
      <c r="N18" s="313" t="s">
        <v>92</v>
      </c>
      <c r="O18" s="314"/>
      <c r="P18" s="315" t="s">
        <v>85</v>
      </c>
      <c r="Q18" s="307">
        <v>16</v>
      </c>
      <c r="R18" s="308" t="s">
        <v>95</v>
      </c>
      <c r="S18" s="309"/>
      <c r="T18" s="311" t="s">
        <v>85</v>
      </c>
      <c r="U18" s="307">
        <v>16</v>
      </c>
      <c r="V18" s="308" t="s">
        <v>94</v>
      </c>
      <c r="W18" s="309"/>
      <c r="X18" s="316" t="s">
        <v>85</v>
      </c>
    </row>
    <row r="19" spans="1:24">
      <c r="A19" s="307">
        <v>17</v>
      </c>
      <c r="B19" s="308" t="s">
        <v>95</v>
      </c>
      <c r="C19" s="309"/>
      <c r="D19" s="311" t="s">
        <v>85</v>
      </c>
      <c r="E19" s="307">
        <v>17</v>
      </c>
      <c r="F19" s="308" t="s">
        <v>95</v>
      </c>
      <c r="G19" s="309"/>
      <c r="H19" s="316" t="s">
        <v>85</v>
      </c>
      <c r="I19" s="307">
        <v>17</v>
      </c>
      <c r="J19" s="308" t="s">
        <v>96</v>
      </c>
      <c r="K19" s="309"/>
      <c r="L19" s="311" t="s">
        <v>85</v>
      </c>
      <c r="M19" s="312">
        <v>17</v>
      </c>
      <c r="N19" s="313" t="s">
        <v>97</v>
      </c>
      <c r="O19" s="314"/>
      <c r="P19" s="315" t="s">
        <v>85</v>
      </c>
      <c r="Q19" s="307">
        <v>17</v>
      </c>
      <c r="R19" s="308" t="s">
        <v>91</v>
      </c>
      <c r="S19" s="309"/>
      <c r="T19" s="311" t="s">
        <v>85</v>
      </c>
      <c r="U19" s="307">
        <v>17</v>
      </c>
      <c r="V19" s="308" t="s">
        <v>96</v>
      </c>
      <c r="W19" s="309"/>
      <c r="X19" s="316" t="s">
        <v>85</v>
      </c>
    </row>
    <row r="20" spans="1:24">
      <c r="A20" s="307">
        <v>18</v>
      </c>
      <c r="B20" s="308" t="s">
        <v>91</v>
      </c>
      <c r="C20" s="309"/>
      <c r="D20" s="311" t="s">
        <v>85</v>
      </c>
      <c r="E20" s="307">
        <v>18</v>
      </c>
      <c r="F20" s="308" t="s">
        <v>91</v>
      </c>
      <c r="G20" s="309"/>
      <c r="H20" s="316" t="s">
        <v>85</v>
      </c>
      <c r="I20" s="312">
        <v>18</v>
      </c>
      <c r="J20" s="313" t="s">
        <v>92</v>
      </c>
      <c r="K20" s="314"/>
      <c r="L20" s="317" t="s">
        <v>85</v>
      </c>
      <c r="M20" s="307">
        <v>18</v>
      </c>
      <c r="N20" s="308" t="s">
        <v>93</v>
      </c>
      <c r="O20" s="663"/>
      <c r="P20" s="695">
        <v>20.571428571428573</v>
      </c>
      <c r="Q20" s="307">
        <v>18</v>
      </c>
      <c r="R20" s="308" t="s">
        <v>94</v>
      </c>
      <c r="S20" s="309"/>
      <c r="T20" s="311" t="s">
        <v>85</v>
      </c>
      <c r="U20" s="312">
        <v>18</v>
      </c>
      <c r="V20" s="326" t="s">
        <v>92</v>
      </c>
      <c r="W20" s="314"/>
      <c r="X20" s="315" t="s">
        <v>85</v>
      </c>
    </row>
    <row r="21" spans="1:24">
      <c r="A21" s="307">
        <v>19</v>
      </c>
      <c r="B21" s="308" t="s">
        <v>94</v>
      </c>
      <c r="C21" s="309"/>
      <c r="D21" s="311" t="s">
        <v>85</v>
      </c>
      <c r="E21" s="307">
        <v>19</v>
      </c>
      <c r="F21" s="308" t="s">
        <v>94</v>
      </c>
      <c r="G21" s="309"/>
      <c r="H21" s="316" t="s">
        <v>85</v>
      </c>
      <c r="I21" s="312">
        <v>19</v>
      </c>
      <c r="J21" s="313" t="s">
        <v>97</v>
      </c>
      <c r="K21" s="314"/>
      <c r="L21" s="317" t="s">
        <v>85</v>
      </c>
      <c r="M21" s="307">
        <v>19</v>
      </c>
      <c r="N21" s="308" t="s">
        <v>95</v>
      </c>
      <c r="O21" s="309"/>
      <c r="P21" s="316" t="s">
        <v>85</v>
      </c>
      <c r="Q21" s="307">
        <v>19</v>
      </c>
      <c r="R21" s="308" t="s">
        <v>96</v>
      </c>
      <c r="S21" s="309"/>
      <c r="T21" s="311" t="s">
        <v>85</v>
      </c>
      <c r="U21" s="312">
        <v>19</v>
      </c>
      <c r="V21" s="313" t="s">
        <v>97</v>
      </c>
      <c r="W21" s="314"/>
      <c r="X21" s="315" t="s">
        <v>85</v>
      </c>
    </row>
    <row r="22" spans="1:24">
      <c r="A22" s="307">
        <v>20</v>
      </c>
      <c r="B22" s="308" t="s">
        <v>96</v>
      </c>
      <c r="C22" s="309"/>
      <c r="D22" s="311" t="s">
        <v>85</v>
      </c>
      <c r="E22" s="307">
        <v>20</v>
      </c>
      <c r="F22" s="308" t="s">
        <v>96</v>
      </c>
      <c r="G22" s="309"/>
      <c r="H22" s="316" t="s">
        <v>85</v>
      </c>
      <c r="I22" s="307">
        <v>20</v>
      </c>
      <c r="J22" s="308" t="s">
        <v>93</v>
      </c>
      <c r="K22" s="309"/>
      <c r="L22" s="311">
        <v>16.571428571428573</v>
      </c>
      <c r="M22" s="307">
        <v>20</v>
      </c>
      <c r="N22" s="308" t="s">
        <v>91</v>
      </c>
      <c r="O22" s="309"/>
      <c r="P22" s="316" t="s">
        <v>85</v>
      </c>
      <c r="Q22" s="312">
        <v>20</v>
      </c>
      <c r="R22" s="326" t="s">
        <v>92</v>
      </c>
      <c r="S22" s="314"/>
      <c r="T22" s="317" t="s">
        <v>85</v>
      </c>
      <c r="U22" s="307">
        <v>20</v>
      </c>
      <c r="V22" s="308" t="s">
        <v>93</v>
      </c>
      <c r="W22" s="309"/>
      <c r="X22" s="316">
        <v>29.571428571428573</v>
      </c>
    </row>
    <row r="23" spans="1:24">
      <c r="A23" s="312">
        <v>21</v>
      </c>
      <c r="B23" s="313" t="s">
        <v>92</v>
      </c>
      <c r="C23" s="314"/>
      <c r="D23" s="317" t="s">
        <v>85</v>
      </c>
      <c r="E23" s="312">
        <v>21</v>
      </c>
      <c r="F23" s="313" t="s">
        <v>92</v>
      </c>
      <c r="G23" s="314"/>
      <c r="H23" s="315" t="s">
        <v>85</v>
      </c>
      <c r="I23" s="307">
        <v>21</v>
      </c>
      <c r="J23" s="308" t="s">
        <v>95</v>
      </c>
      <c r="K23" s="309"/>
      <c r="L23" s="311" t="s">
        <v>85</v>
      </c>
      <c r="M23" s="307">
        <v>21</v>
      </c>
      <c r="N23" s="308" t="s">
        <v>94</v>
      </c>
      <c r="O23" s="309"/>
      <c r="P23" s="316" t="s">
        <v>85</v>
      </c>
      <c r="Q23" s="312">
        <v>21</v>
      </c>
      <c r="R23" s="313" t="s">
        <v>97</v>
      </c>
      <c r="S23" s="314"/>
      <c r="T23" s="317" t="s">
        <v>85</v>
      </c>
      <c r="U23" s="307">
        <v>21</v>
      </c>
      <c r="V23" s="322" t="s">
        <v>95</v>
      </c>
      <c r="W23" s="309"/>
      <c r="X23" s="316" t="s">
        <v>85</v>
      </c>
    </row>
    <row r="24" spans="1:24">
      <c r="A24" s="312">
        <v>22</v>
      </c>
      <c r="B24" s="313" t="s">
        <v>97</v>
      </c>
      <c r="C24" s="314"/>
      <c r="D24" s="317" t="s">
        <v>85</v>
      </c>
      <c r="E24" s="312">
        <v>22</v>
      </c>
      <c r="F24" s="313" t="s">
        <v>97</v>
      </c>
      <c r="G24" s="314"/>
      <c r="H24" s="315" t="s">
        <v>85</v>
      </c>
      <c r="I24" s="307">
        <v>22</v>
      </c>
      <c r="J24" s="308" t="s">
        <v>91</v>
      </c>
      <c r="K24" s="309"/>
      <c r="L24" s="311" t="s">
        <v>85</v>
      </c>
      <c r="M24" s="307">
        <v>22</v>
      </c>
      <c r="N24" s="308" t="s">
        <v>96</v>
      </c>
      <c r="O24" s="309"/>
      <c r="P24" s="316" t="s">
        <v>85</v>
      </c>
      <c r="Q24" s="307">
        <v>22</v>
      </c>
      <c r="R24" s="308" t="s">
        <v>93</v>
      </c>
      <c r="S24" s="309"/>
      <c r="T24" s="311">
        <v>25.571428571428573</v>
      </c>
      <c r="U24" s="307">
        <v>22</v>
      </c>
      <c r="V24" s="308" t="s">
        <v>91</v>
      </c>
      <c r="W24" s="309"/>
      <c r="X24" s="316" t="s">
        <v>85</v>
      </c>
    </row>
    <row r="25" spans="1:24">
      <c r="A25" s="307">
        <v>23</v>
      </c>
      <c r="B25" s="308" t="s">
        <v>93</v>
      </c>
      <c r="C25" s="309"/>
      <c r="D25" s="311">
        <v>8.5714285714285712</v>
      </c>
      <c r="E25" s="307">
        <v>23</v>
      </c>
      <c r="F25" s="308" t="s">
        <v>93</v>
      </c>
      <c r="G25" s="309"/>
      <c r="H25" s="316">
        <v>12.571428571428571</v>
      </c>
      <c r="I25" s="307">
        <v>23</v>
      </c>
      <c r="J25" s="308" t="s">
        <v>94</v>
      </c>
      <c r="K25" s="309"/>
      <c r="L25" s="311" t="s">
        <v>85</v>
      </c>
      <c r="M25" s="312">
        <v>23</v>
      </c>
      <c r="N25" s="326" t="s">
        <v>92</v>
      </c>
      <c r="O25" s="314"/>
      <c r="P25" s="315" t="s">
        <v>85</v>
      </c>
      <c r="Q25" s="307">
        <v>23</v>
      </c>
      <c r="R25" s="322" t="s">
        <v>95</v>
      </c>
      <c r="S25" s="309"/>
      <c r="T25" s="311" t="s">
        <v>85</v>
      </c>
      <c r="U25" s="307">
        <v>23</v>
      </c>
      <c r="V25" s="308" t="s">
        <v>94</v>
      </c>
      <c r="W25" s="309"/>
      <c r="X25" s="316" t="s">
        <v>85</v>
      </c>
    </row>
    <row r="26" spans="1:24">
      <c r="A26" s="307">
        <v>24</v>
      </c>
      <c r="B26" s="308" t="s">
        <v>95</v>
      </c>
      <c r="C26" s="309"/>
      <c r="D26" s="311" t="s">
        <v>85</v>
      </c>
      <c r="E26" s="307">
        <v>24</v>
      </c>
      <c r="F26" s="308" t="s">
        <v>95</v>
      </c>
      <c r="G26" s="309"/>
      <c r="H26" s="316" t="s">
        <v>85</v>
      </c>
      <c r="I26" s="307">
        <v>24</v>
      </c>
      <c r="J26" s="308" t="s">
        <v>96</v>
      </c>
      <c r="K26" s="309"/>
      <c r="L26" s="311" t="s">
        <v>85</v>
      </c>
      <c r="M26" s="312">
        <v>24</v>
      </c>
      <c r="N26" s="313" t="s">
        <v>97</v>
      </c>
      <c r="O26" s="314" t="s">
        <v>103</v>
      </c>
      <c r="P26" s="315" t="s">
        <v>85</v>
      </c>
      <c r="Q26" s="307">
        <v>24</v>
      </c>
      <c r="R26" s="308" t="s">
        <v>91</v>
      </c>
      <c r="S26" s="309"/>
      <c r="T26" s="311" t="s">
        <v>85</v>
      </c>
      <c r="U26" s="307">
        <v>24</v>
      </c>
      <c r="V26" s="308" t="s">
        <v>96</v>
      </c>
      <c r="W26" s="309"/>
      <c r="X26" s="316" t="s">
        <v>85</v>
      </c>
    </row>
    <row r="27" spans="1:24">
      <c r="A27" s="307">
        <v>25</v>
      </c>
      <c r="B27" s="308" t="s">
        <v>91</v>
      </c>
      <c r="C27" s="309"/>
      <c r="D27" s="311" t="s">
        <v>85</v>
      </c>
      <c r="E27" s="307">
        <v>25</v>
      </c>
      <c r="F27" s="308" t="s">
        <v>91</v>
      </c>
      <c r="G27" s="309"/>
      <c r="H27" s="316" t="s">
        <v>85</v>
      </c>
      <c r="I27" s="312">
        <v>25</v>
      </c>
      <c r="J27" s="326" t="s">
        <v>92</v>
      </c>
      <c r="K27" s="314"/>
      <c r="L27" s="317" t="s">
        <v>85</v>
      </c>
      <c r="M27" s="307">
        <v>25</v>
      </c>
      <c r="N27" s="308" t="s">
        <v>93</v>
      </c>
      <c r="O27" s="309" t="s">
        <v>269</v>
      </c>
      <c r="P27" s="316">
        <v>21.571428571428573</v>
      </c>
      <c r="Q27" s="307">
        <v>25</v>
      </c>
      <c r="R27" s="308" t="s">
        <v>94</v>
      </c>
      <c r="S27" s="309"/>
      <c r="T27" s="311" t="s">
        <v>85</v>
      </c>
      <c r="U27" s="312">
        <v>25</v>
      </c>
      <c r="V27" s="313" t="s">
        <v>92</v>
      </c>
      <c r="W27" s="314"/>
      <c r="X27" s="315" t="s">
        <v>85</v>
      </c>
    </row>
    <row r="28" spans="1:24">
      <c r="A28" s="307">
        <v>26</v>
      </c>
      <c r="B28" s="308" t="s">
        <v>94</v>
      </c>
      <c r="C28" s="309"/>
      <c r="D28" s="311" t="s">
        <v>85</v>
      </c>
      <c r="E28" s="307">
        <v>26</v>
      </c>
      <c r="F28" s="308" t="s">
        <v>94</v>
      </c>
      <c r="G28" s="309"/>
      <c r="H28" s="316" t="s">
        <v>85</v>
      </c>
      <c r="I28" s="312">
        <v>26</v>
      </c>
      <c r="J28" s="313" t="s">
        <v>97</v>
      </c>
      <c r="K28" s="314"/>
      <c r="L28" s="317" t="s">
        <v>85</v>
      </c>
      <c r="M28" s="307">
        <v>26</v>
      </c>
      <c r="N28" s="322" t="s">
        <v>95</v>
      </c>
      <c r="O28" s="309"/>
      <c r="P28" s="316" t="s">
        <v>85</v>
      </c>
      <c r="Q28" s="307">
        <v>26</v>
      </c>
      <c r="R28" s="308" t="s">
        <v>96</v>
      </c>
      <c r="S28" s="309"/>
      <c r="T28" s="311" t="s">
        <v>85</v>
      </c>
      <c r="U28" s="312">
        <v>26</v>
      </c>
      <c r="V28" s="326" t="s">
        <v>97</v>
      </c>
      <c r="W28" s="314"/>
      <c r="X28" s="315" t="s">
        <v>85</v>
      </c>
    </row>
    <row r="29" spans="1:24">
      <c r="A29" s="307">
        <v>27</v>
      </c>
      <c r="B29" s="308" t="s">
        <v>96</v>
      </c>
      <c r="C29" s="309"/>
      <c r="D29" s="311" t="s">
        <v>85</v>
      </c>
      <c r="E29" s="307">
        <v>27</v>
      </c>
      <c r="F29" s="308" t="s">
        <v>96</v>
      </c>
      <c r="G29" s="309"/>
      <c r="H29" s="316" t="s">
        <v>85</v>
      </c>
      <c r="I29" s="307">
        <v>27</v>
      </c>
      <c r="J29" s="308" t="s">
        <v>93</v>
      </c>
      <c r="K29" s="309"/>
      <c r="L29" s="311">
        <v>17.571428571428573</v>
      </c>
      <c r="M29" s="307">
        <v>27</v>
      </c>
      <c r="N29" s="308" t="s">
        <v>91</v>
      </c>
      <c r="O29" s="309"/>
      <c r="P29" s="316" t="s">
        <v>85</v>
      </c>
      <c r="Q29" s="312">
        <v>27</v>
      </c>
      <c r="R29" s="313" t="s">
        <v>92</v>
      </c>
      <c r="S29" s="314"/>
      <c r="T29" s="317" t="s">
        <v>85</v>
      </c>
      <c r="U29" s="307">
        <v>27</v>
      </c>
      <c r="V29" s="308" t="s">
        <v>93</v>
      </c>
      <c r="W29" s="309"/>
      <c r="X29" s="316">
        <v>30.571428571428573</v>
      </c>
    </row>
    <row r="30" spans="1:24">
      <c r="A30" s="312">
        <v>28</v>
      </c>
      <c r="B30" s="326" t="s">
        <v>92</v>
      </c>
      <c r="C30" s="314"/>
      <c r="D30" s="315" t="s">
        <v>85</v>
      </c>
      <c r="E30" s="312">
        <v>28</v>
      </c>
      <c r="F30" s="326" t="s">
        <v>92</v>
      </c>
      <c r="G30" s="314" t="s">
        <v>102</v>
      </c>
      <c r="H30" s="315" t="s">
        <v>85</v>
      </c>
      <c r="I30" s="307">
        <v>28</v>
      </c>
      <c r="J30" s="322" t="s">
        <v>95</v>
      </c>
      <c r="K30" s="309"/>
      <c r="L30" s="311" t="s">
        <v>85</v>
      </c>
      <c r="M30" s="307">
        <v>28</v>
      </c>
      <c r="N30" s="308" t="s">
        <v>94</v>
      </c>
      <c r="O30" s="309"/>
      <c r="P30" s="316" t="s">
        <v>85</v>
      </c>
      <c r="Q30" s="312">
        <v>28</v>
      </c>
      <c r="R30" s="326" t="s">
        <v>97</v>
      </c>
      <c r="S30" s="314"/>
      <c r="T30" s="317" t="s">
        <v>85</v>
      </c>
      <c r="U30" s="307">
        <v>28</v>
      </c>
      <c r="V30" s="308" t="s">
        <v>95</v>
      </c>
      <c r="W30" s="309"/>
      <c r="X30" s="316" t="s">
        <v>85</v>
      </c>
    </row>
    <row r="31" spans="1:24">
      <c r="A31" s="103"/>
      <c r="B31" s="104"/>
      <c r="C31" s="105"/>
      <c r="D31" s="113"/>
      <c r="E31" s="312">
        <v>29</v>
      </c>
      <c r="F31" s="313" t="s">
        <v>97</v>
      </c>
      <c r="G31" s="314"/>
      <c r="H31" s="315" t="s">
        <v>85</v>
      </c>
      <c r="I31" s="307">
        <v>29</v>
      </c>
      <c r="J31" s="308" t="s">
        <v>91</v>
      </c>
      <c r="K31" s="309"/>
      <c r="L31" s="311" t="s">
        <v>85</v>
      </c>
      <c r="M31" s="307">
        <v>29</v>
      </c>
      <c r="N31" s="308" t="s">
        <v>96</v>
      </c>
      <c r="O31" s="309"/>
      <c r="P31" s="316" t="s">
        <v>85</v>
      </c>
      <c r="Q31" s="307">
        <v>29</v>
      </c>
      <c r="R31" s="308" t="s">
        <v>93</v>
      </c>
      <c r="S31" s="309"/>
      <c r="T31" s="311">
        <v>26.571428571428573</v>
      </c>
      <c r="U31" s="307">
        <v>29</v>
      </c>
      <c r="V31" s="308" t="s">
        <v>91</v>
      </c>
      <c r="W31" s="309"/>
      <c r="X31" s="316" t="s">
        <v>85</v>
      </c>
    </row>
    <row r="32" spans="1:24">
      <c r="A32" s="109"/>
      <c r="B32" s="110"/>
      <c r="C32" s="111"/>
      <c r="D32" s="112"/>
      <c r="E32" s="307">
        <v>30</v>
      </c>
      <c r="F32" s="308" t="s">
        <v>93</v>
      </c>
      <c r="G32" s="309"/>
      <c r="H32" s="316">
        <v>13.571428571428571</v>
      </c>
      <c r="I32" s="307">
        <v>30</v>
      </c>
      <c r="J32" s="308" t="s">
        <v>94</v>
      </c>
      <c r="K32" s="309"/>
      <c r="L32" s="311" t="s">
        <v>85</v>
      </c>
      <c r="M32" s="312">
        <v>30</v>
      </c>
      <c r="N32" s="313" t="s">
        <v>92</v>
      </c>
      <c r="O32" s="314"/>
      <c r="P32" s="315" t="s">
        <v>85</v>
      </c>
      <c r="Q32" s="307">
        <v>30</v>
      </c>
      <c r="R32" s="308" t="s">
        <v>95</v>
      </c>
      <c r="S32" s="309"/>
      <c r="T32" s="311" t="s">
        <v>85</v>
      </c>
      <c r="U32" s="307">
        <v>30</v>
      </c>
      <c r="V32" s="308" t="s">
        <v>94</v>
      </c>
      <c r="W32" s="309"/>
      <c r="X32" s="316" t="s">
        <v>85</v>
      </c>
    </row>
    <row r="33" spans="1:24">
      <c r="A33" s="4"/>
      <c r="B33" s="4"/>
      <c r="C33" s="4"/>
      <c r="D33" s="4"/>
      <c r="E33" s="321">
        <v>31</v>
      </c>
      <c r="F33" s="322" t="s">
        <v>95</v>
      </c>
      <c r="G33" s="323"/>
      <c r="H33" s="324" t="s">
        <v>85</v>
      </c>
      <c r="I33" s="109"/>
      <c r="J33" s="110"/>
      <c r="K33" s="111"/>
      <c r="L33" s="112"/>
      <c r="M33" s="325">
        <v>31</v>
      </c>
      <c r="N33" s="326" t="s">
        <v>97</v>
      </c>
      <c r="O33" s="328"/>
      <c r="P33" s="327" t="s">
        <v>85</v>
      </c>
      <c r="Q33" s="109"/>
      <c r="R33" s="110"/>
      <c r="S33" s="111"/>
      <c r="T33" s="112"/>
      <c r="U33" s="321">
        <v>31</v>
      </c>
      <c r="V33" s="322" t="s">
        <v>96</v>
      </c>
      <c r="W33" s="323"/>
      <c r="X33" s="324" t="s">
        <v>85</v>
      </c>
    </row>
  </sheetData>
  <mergeCells count="1">
    <mergeCell ref="A1:X1"/>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38</vt:i4>
      </vt:variant>
      <vt:variant>
        <vt:lpstr>Navngivne områder</vt:lpstr>
      </vt:variant>
      <vt:variant>
        <vt:i4>63</vt:i4>
      </vt:variant>
    </vt:vector>
  </HeadingPairs>
  <TitlesOfParts>
    <vt:vector size="101" baseType="lpstr">
      <vt:lpstr>Vejledning</vt:lpstr>
      <vt:lpstr>Vejledning PDF</vt:lpstr>
      <vt:lpstr>Ændringer i forhold til 24-25</vt:lpstr>
      <vt:lpstr>Opgørelse af normperioden</vt:lpstr>
      <vt:lpstr>Gode råd til check</vt:lpstr>
      <vt:lpstr>Stamoplysninger</vt:lpstr>
      <vt:lpstr>Normal uger</vt:lpstr>
      <vt:lpstr>Rul</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Opgørelse</vt:lpstr>
      <vt:lpstr>Aar</vt:lpstr>
      <vt:lpstr>Vejledning til arb.tidsoversigt</vt:lpstr>
      <vt:lpstr>Opgaveoversigt</vt:lpstr>
      <vt:lpstr>Aften-weekendtillæg</vt:lpstr>
      <vt:lpstr>1.halvaar</vt:lpstr>
      <vt:lpstr>2.halvaar</vt:lpstr>
      <vt:lpstr>Normal uge 1 til print</vt:lpstr>
      <vt:lpstr>Normal uge 2 til print</vt:lpstr>
      <vt:lpstr>Normal uger 3 til print</vt:lpstr>
      <vt:lpstr>Normal uger 4 til print</vt:lpstr>
      <vt:lpstr>Normal uger 5 til print</vt:lpstr>
      <vt:lpstr>Normal uger 6 til print</vt:lpstr>
      <vt:lpstr>Rul til print</vt:lpstr>
      <vt:lpstr>TOMT ÅR</vt:lpstr>
      <vt:lpstr>TOMT 1. HALVÅR</vt:lpstr>
      <vt:lpstr>TOMT 2. HALVÅR</vt:lpstr>
      <vt:lpstr>April1</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December1</vt:lpstr>
      <vt:lpstr>Februar1</vt:lpstr>
      <vt:lpstr>Januar1</vt:lpstr>
      <vt:lpstr>Juli1</vt:lpstr>
      <vt:lpstr>Juni1</vt:lpstr>
      <vt:lpstr>Majmåned</vt:lpstr>
      <vt:lpstr>Marts1</vt:lpstr>
      <vt:lpstr>November1</vt:lpstr>
      <vt:lpstr>Oktober1</vt:lpstr>
      <vt:lpstr>April!September1</vt:lpstr>
      <vt:lpstr>Februar!September1</vt:lpstr>
      <vt:lpstr>Juni!September1</vt:lpstr>
      <vt:lpstr>November!September1</vt:lpstr>
      <vt:lpstr>September1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'Normal uge 2 til print'!Udskriftsområde</vt:lpstr>
      <vt:lpstr>'Normal uger'!Udskriftsområde</vt:lpstr>
      <vt:lpstr>November!Udskriftsområde</vt:lpstr>
      <vt:lpstr>Oktober!Udskriftsområde</vt:lpstr>
      <vt:lpstr>Opgørelse!Udskriftsområde</vt:lpstr>
      <vt:lpstr>Rul!Udskriftsområde</vt:lpstr>
      <vt:lpstr>September!Udskriftsområde</vt:lpstr>
      <vt:lpstr>Stamoplysninger!Udskriftsområde</vt:lpstr>
      <vt:lpstr>'TOMT 2. HALVÅR'!Udskriftsområde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2025-03-11T09:07:30Z</cp:lastPrinted>
  <dcterms:created xsi:type="dcterms:W3CDTF">2014-04-09T06:24:54Z</dcterms:created>
  <dcterms:modified xsi:type="dcterms:W3CDTF">2025-03-27T07:16:39Z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